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1055" activeTab="1"/>
  </bookViews>
  <sheets>
    <sheet name="Tabelle1" sheetId="1" r:id="rId1"/>
    <sheet name="Daten" sheetId="2" r:id="rId2"/>
    <sheet name="Formeln" sheetId="3" r:id="rId3"/>
  </sheets>
  <calcPr calcId="125725"/>
</workbook>
</file>

<file path=xl/calcChain.xml><?xml version="1.0" encoding="utf-8"?>
<calcChain xmlns="http://schemas.openxmlformats.org/spreadsheetml/2006/main">
  <c r="E85" i="2"/>
  <c r="D68"/>
  <c r="B64"/>
  <c r="B58"/>
  <c r="B46"/>
  <c r="B33"/>
  <c r="B26"/>
  <c r="B18"/>
  <c r="E70"/>
  <c r="M64"/>
  <c r="N64"/>
  <c r="M58"/>
  <c r="N58"/>
  <c r="M46"/>
  <c r="N46"/>
  <c r="M33"/>
  <c r="N33"/>
  <c r="M26"/>
  <c r="N26"/>
  <c r="M18"/>
  <c r="N18"/>
  <c r="N65" l="1"/>
  <c r="B79" s="1"/>
  <c r="M65"/>
  <c r="B78" s="1"/>
  <c r="C64"/>
  <c r="C58"/>
  <c r="C46"/>
  <c r="C33"/>
  <c r="C26"/>
  <c r="C18"/>
  <c r="E64"/>
  <c r="F64"/>
  <c r="G64"/>
  <c r="H64"/>
  <c r="I64"/>
  <c r="J64"/>
  <c r="K64"/>
  <c r="L64"/>
  <c r="O64"/>
  <c r="P64"/>
  <c r="Q64"/>
  <c r="R64"/>
  <c r="S64"/>
  <c r="D64"/>
  <c r="E58"/>
  <c r="F58"/>
  <c r="G58"/>
  <c r="H58"/>
  <c r="I58"/>
  <c r="J58"/>
  <c r="K58"/>
  <c r="L58"/>
  <c r="O58"/>
  <c r="P58"/>
  <c r="Q58"/>
  <c r="R58"/>
  <c r="S58"/>
  <c r="D58"/>
  <c r="E46"/>
  <c r="F46"/>
  <c r="G46"/>
  <c r="H46"/>
  <c r="I46"/>
  <c r="J46"/>
  <c r="K46"/>
  <c r="L46"/>
  <c r="O46"/>
  <c r="P46"/>
  <c r="Q46"/>
  <c r="R46"/>
  <c r="S46"/>
  <c r="D46"/>
  <c r="C65" l="1"/>
  <c r="E33"/>
  <c r="F33"/>
  <c r="G33"/>
  <c r="H33"/>
  <c r="I33"/>
  <c r="J33"/>
  <c r="K33"/>
  <c r="L33"/>
  <c r="O33"/>
  <c r="P33"/>
  <c r="Q33"/>
  <c r="R33"/>
  <c r="S33"/>
  <c r="D33"/>
  <c r="E26"/>
  <c r="F26"/>
  <c r="G26"/>
  <c r="H26"/>
  <c r="I26"/>
  <c r="J26"/>
  <c r="K26"/>
  <c r="L26"/>
  <c r="O26"/>
  <c r="P26"/>
  <c r="Q26"/>
  <c r="R26"/>
  <c r="S26"/>
  <c r="D26"/>
  <c r="F18"/>
  <c r="G18"/>
  <c r="G65" s="1"/>
  <c r="B72" s="1"/>
  <c r="H18"/>
  <c r="I18"/>
  <c r="I65" s="1"/>
  <c r="B74" s="1"/>
  <c r="D74" s="1"/>
  <c r="J18"/>
  <c r="K18"/>
  <c r="K65" s="1"/>
  <c r="B76" s="1"/>
  <c r="L18"/>
  <c r="O18"/>
  <c r="O65" s="1"/>
  <c r="B80" s="1"/>
  <c r="P18"/>
  <c r="Q18"/>
  <c r="Q65" s="1"/>
  <c r="B83" s="1"/>
  <c r="R18"/>
  <c r="S18"/>
  <c r="E18"/>
  <c r="E65" s="1"/>
  <c r="D18"/>
  <c r="D65" s="1"/>
  <c r="P117"/>
  <c r="E118"/>
  <c r="P113"/>
  <c r="P114"/>
  <c r="P103"/>
  <c r="P104"/>
  <c r="P105"/>
  <c r="P106"/>
  <c r="P107"/>
  <c r="P112"/>
  <c r="P102"/>
  <c r="L113"/>
  <c r="O113" s="1"/>
  <c r="L114"/>
  <c r="O114" s="1"/>
  <c r="L115"/>
  <c r="L116"/>
  <c r="L102"/>
  <c r="O102" s="1"/>
  <c r="L103"/>
  <c r="O103" s="1"/>
  <c r="L104"/>
  <c r="O104" s="1"/>
  <c r="L105"/>
  <c r="O105" s="1"/>
  <c r="L106"/>
  <c r="O106" s="1"/>
  <c r="L107"/>
  <c r="O107" s="1"/>
  <c r="L108"/>
  <c r="L109"/>
  <c r="L110"/>
  <c r="L111"/>
  <c r="L101"/>
  <c r="S65" l="1"/>
  <c r="B85" s="1"/>
  <c r="R65"/>
  <c r="B84" s="1"/>
  <c r="P65"/>
  <c r="B82" s="1"/>
  <c r="L65"/>
  <c r="B77" s="1"/>
  <c r="B81" s="1"/>
  <c r="J65"/>
  <c r="B75" s="1"/>
  <c r="H65"/>
  <c r="B73" s="1"/>
  <c r="B70" s="1"/>
  <c r="D70" s="1"/>
  <c r="F65"/>
  <c r="B71" s="1"/>
  <c r="O112"/>
  <c r="O117"/>
  <c r="O101"/>
  <c r="B86" l="1"/>
  <c r="D86" s="1"/>
  <c r="D73"/>
  <c r="B65"/>
</calcChain>
</file>

<file path=xl/comments1.xml><?xml version="1.0" encoding="utf-8"?>
<comments xmlns="http://schemas.openxmlformats.org/spreadsheetml/2006/main">
  <authors>
    <author>ws</author>
  </authors>
  <commentList>
    <comment ref="R14" authorId="0">
      <text>
        <r>
          <rPr>
            <b/>
            <sz val="9"/>
            <color indexed="81"/>
            <rFont val="Tahoma"/>
            <family val="2"/>
          </rPr>
          <t>=CH-</t>
        </r>
      </text>
    </comment>
    <comment ref="R23" authorId="0">
      <text>
        <r>
          <rPr>
            <b/>
            <sz val="9"/>
            <color indexed="81"/>
            <rFont val="Tahoma"/>
            <family val="2"/>
          </rPr>
          <t xml:space="preserve">&gt;CH-
</t>
        </r>
      </text>
    </comment>
    <comment ref="R29" authorId="0">
      <text>
        <r>
          <rPr>
            <b/>
            <sz val="9"/>
            <color indexed="81"/>
            <rFont val="Tahoma"/>
            <family val="2"/>
          </rPr>
          <t>-Cl</t>
        </r>
      </text>
    </comment>
    <comment ref="R49" authorId="0">
      <text>
        <r>
          <rPr>
            <b/>
            <sz val="9"/>
            <color indexed="81"/>
            <rFont val="Tahoma"/>
            <family val="2"/>
          </rPr>
          <t>-CH2-</t>
        </r>
      </text>
    </comment>
    <comment ref="G53" authorId="0">
      <text>
        <r>
          <rPr>
            <b/>
            <sz val="9"/>
            <color indexed="81"/>
            <rFont val="Tahoma"/>
            <family val="2"/>
          </rPr>
          <t>&gt;NH-</t>
        </r>
      </text>
    </comment>
    <comment ref="I53" authorId="0">
      <text>
        <r>
          <rPr>
            <b/>
            <sz val="9"/>
            <color indexed="81"/>
            <rFont val="Tahoma"/>
            <family val="2"/>
          </rPr>
          <t>&gt;NH-</t>
        </r>
      </text>
    </comment>
    <comment ref="K53" authorId="0">
      <text>
        <r>
          <rPr>
            <b/>
            <sz val="9"/>
            <color indexed="81"/>
            <rFont val="Tahoma"/>
            <family val="2"/>
          </rPr>
          <t>&gt;NH-</t>
        </r>
      </text>
    </comment>
    <comment ref="E55" authorId="0">
      <text>
        <r>
          <rPr>
            <b/>
            <sz val="9"/>
            <color indexed="81"/>
            <rFont val="Tahoma"/>
            <family val="2"/>
          </rPr>
          <t>-N=</t>
        </r>
      </text>
    </comment>
    <comment ref="P55" authorId="0">
      <text>
        <r>
          <rPr>
            <b/>
            <sz val="9"/>
            <color indexed="81"/>
            <rFont val="Tahoma"/>
            <family val="2"/>
          </rPr>
          <t>-N=</t>
        </r>
      </text>
    </comment>
    <comment ref="R61" authorId="0">
      <text>
        <r>
          <rPr>
            <b/>
            <sz val="9"/>
            <color indexed="81"/>
            <rFont val="Tahoma"/>
            <family val="2"/>
          </rPr>
          <t>-CH2-</t>
        </r>
      </text>
    </comment>
    <comment ref="E86" authorId="0">
      <text>
        <r>
          <rPr>
            <b/>
            <sz val="9"/>
            <color indexed="81"/>
            <rFont val="Tahoma"/>
            <family val="2"/>
          </rPr>
          <t>20 cel</t>
        </r>
      </text>
    </comment>
  </commentList>
</comments>
</file>

<file path=xl/sharedStrings.xml><?xml version="1.0" encoding="utf-8"?>
<sst xmlns="http://schemas.openxmlformats.org/spreadsheetml/2006/main" count="233" uniqueCount="157">
  <si>
    <t>Wärmekapazität</t>
  </si>
  <si>
    <t>Gruppe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</si>
  <si>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</si>
  <si>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</si>
  <si>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</si>
  <si>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b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</si>
  <si>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</si>
  <si>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</si>
  <si>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G</t>
    </r>
    <r>
      <rPr>
        <b/>
        <vertAlign val="subscript"/>
        <sz val="11"/>
        <color theme="1"/>
        <rFont val="Calibri"/>
        <family val="2"/>
        <scheme val="minor"/>
      </rPr>
      <t>f</t>
    </r>
  </si>
  <si>
    <t>a</t>
  </si>
  <si>
    <t>b</t>
  </si>
  <si>
    <t>d</t>
  </si>
  <si>
    <r>
      <t>H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</si>
  <si>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v</t>
    </r>
  </si>
  <si>
    <t>Kritischer Punkt</t>
  </si>
  <si>
    <t>Phasenübergangs-</t>
  </si>
  <si>
    <t>temperaturen</t>
  </si>
  <si>
    <t>Ideales Gas</t>
  </si>
  <si>
    <t>enthalpien</t>
  </si>
  <si>
    <t>Dynamische</t>
  </si>
  <si>
    <t>Viskosität</t>
  </si>
  <si>
    <t>Nicht-Ring-Gruppen</t>
  </si>
  <si>
    <t>–CH3</t>
  </si>
  <si>
    <r>
      <t>–CH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–</t>
    </r>
  </si>
  <si>
    <t>&gt;CH–</t>
  </si>
  <si>
    <t>&gt;C&lt;</t>
  </si>
  <si>
    <t>=C&lt;</t>
  </si>
  <si>
    <t>=C=</t>
  </si>
  <si>
    <t>≡CH</t>
  </si>
  <si>
    <t>≡C–</t>
  </si>
  <si>
    <t>Ringgruppen</t>
  </si>
  <si>
    <t>Halogengruppen</t>
  </si>
  <si>
    <t>–F</t>
  </si>
  <si>
    <t>–Cl</t>
  </si>
  <si>
    <t>–Br</t>
  </si>
  <si>
    <t>–I</t>
  </si>
  <si>
    <t>Sauerstoffgruppen</t>
  </si>
  <si>
    <t>–OH (Alkohole)</t>
  </si>
  <si>
    <t>–OH (Phenol)</t>
  </si>
  <si>
    <t>–O– (Nichtring)</t>
  </si>
  <si>
    <t>–O– (Ring)</t>
  </si>
  <si>
    <t>&gt;C=O (Nichtring)</t>
  </si>
  <si>
    <t>&gt;C=O (Ring)</t>
  </si>
  <si>
    <t>O=CH– (Aldehyd)</t>
  </si>
  <si>
    <t>–COOH (Säure)</t>
  </si>
  <si>
    <t>–COO– (Ester)</t>
  </si>
  <si>
    <t>0,0143</t>
  </si>
  <si>
    <t>Stickstoffgruppen</t>
  </si>
  <si>
    <r>
      <t>–NH</t>
    </r>
    <r>
      <rPr>
        <vertAlign val="subscript"/>
        <sz val="11"/>
        <color theme="1"/>
        <rFont val="Calibri"/>
        <family val="2"/>
        <scheme val="minor"/>
      </rPr>
      <t>2</t>
    </r>
  </si>
  <si>
    <t>&gt;NH (Nichtring)</t>
  </si>
  <si>
    <t>&gt;NH (Ring)</t>
  </si>
  <si>
    <t>&gt;N–(Nichtring)</t>
  </si>
  <si>
    <t>–N= (Nichtrring)</t>
  </si>
  <si>
    <t>–N= (Ring)</t>
  </si>
  <si>
    <t>–CN</t>
  </si>
  <si>
    <r>
      <t>–NO</t>
    </r>
    <r>
      <rPr>
        <vertAlign val="subscript"/>
        <sz val="11"/>
        <color theme="1"/>
        <rFont val="Calibri"/>
        <family val="2"/>
        <scheme val="minor"/>
      </rPr>
      <t>2</t>
    </r>
  </si>
  <si>
    <t>Schwefelgruppen</t>
  </si>
  <si>
    <t>–SH</t>
  </si>
  <si>
    <t>–S– (Nichtring)</t>
  </si>
  <si>
    <t>–S– (Ring)</t>
  </si>
  <si>
    <t>Strukturformel von Aceton</t>
  </si>
  <si>
    <r>
      <t>Aceton (Propanon) ist das einfachste Keton und wird nach der Joback-Methode in drei Gruppen aufgeteilt: Zwei Methylgruppen (–CH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 und eine Ketogruppe (C=O). Da die Methylgruppe zweimal vorkommt, wird ihr Beitrag doppelt addiert.</t>
    </r>
  </si>
  <si>
    <t>Eigenschaft</t>
  </si>
  <si>
    <t>Anzahl</t>
  </si>
  <si>
    <t>der Gruppen</t>
  </si>
  <si>
    <t>Beitrag</t>
  </si>
  <si>
    <t>Berechneter Wert</t>
  </si>
  <si>
    <t>Einheit</t>
  </si>
  <si>
    <r>
      <t>T</t>
    </r>
    <r>
      <rPr>
        <vertAlign val="subscript"/>
        <sz val="11"/>
        <color theme="1"/>
        <rFont val="Calibri"/>
        <family val="2"/>
        <scheme val="minor"/>
      </rPr>
      <t>c</t>
    </r>
  </si>
  <si>
    <t>K</t>
  </si>
  <si>
    <r>
      <t>P</t>
    </r>
    <r>
      <rPr>
        <vertAlign val="subscript"/>
        <sz val="11"/>
        <color theme="1"/>
        <rFont val="Calibri"/>
        <family val="2"/>
        <scheme val="minor"/>
      </rPr>
      <t>c</t>
    </r>
  </si>
  <si>
    <t>bar</t>
  </si>
  <si>
    <r>
      <t>V</t>
    </r>
    <r>
      <rPr>
        <vertAlign val="subscript"/>
        <sz val="11"/>
        <color theme="1"/>
        <rFont val="Calibri"/>
        <family val="2"/>
        <scheme val="minor"/>
      </rPr>
      <t>c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</si>
  <si>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/mol</t>
    </r>
  </si>
  <si>
    <r>
      <t>T</t>
    </r>
    <r>
      <rPr>
        <vertAlign val="subscript"/>
        <sz val="11"/>
        <color theme="1"/>
        <rFont val="Calibri"/>
        <family val="2"/>
        <scheme val="minor"/>
      </rPr>
      <t>b</t>
    </r>
  </si>
  <si>
    <r>
      <t>T</t>
    </r>
    <r>
      <rPr>
        <vertAlign val="subscript"/>
        <sz val="11"/>
        <color theme="1"/>
        <rFont val="Calibri"/>
        <family val="2"/>
        <scheme val="minor"/>
      </rPr>
      <t>m</t>
    </r>
  </si>
  <si>
    <r>
      <t>H</t>
    </r>
    <r>
      <rPr>
        <vertAlign val="subscript"/>
        <sz val="11"/>
        <color theme="1"/>
        <rFont val="Calibri"/>
        <family val="2"/>
        <scheme val="minor"/>
      </rPr>
      <t>f</t>
    </r>
  </si>
  <si>
    <t>kJ/mol</t>
  </si>
  <si>
    <r>
      <t>G</t>
    </r>
    <r>
      <rPr>
        <vertAlign val="subscript"/>
        <sz val="11"/>
        <color theme="1"/>
        <rFont val="Calibri"/>
        <family val="2"/>
        <scheme val="minor"/>
      </rPr>
      <t>f</t>
    </r>
  </si>
  <si>
    <r>
      <t>C</t>
    </r>
    <r>
      <rPr>
        <vertAlign val="subscript"/>
        <sz val="11"/>
        <color theme="1"/>
        <rFont val="Calibri"/>
        <family val="2"/>
        <scheme val="minor"/>
      </rPr>
      <t>pa</t>
    </r>
  </si>
  <si>
    <r>
      <t>C</t>
    </r>
    <r>
      <rPr>
        <vertAlign val="subscript"/>
        <sz val="11"/>
        <color theme="1"/>
        <rFont val="Calibri"/>
        <family val="2"/>
        <scheme val="minor"/>
      </rPr>
      <t>pb</t>
    </r>
  </si>
  <si>
    <r>
      <t>C</t>
    </r>
    <r>
      <rPr>
        <vertAlign val="subscript"/>
        <sz val="11"/>
        <color theme="1"/>
        <rFont val="Calibri"/>
        <family val="2"/>
        <scheme val="minor"/>
      </rPr>
      <t>pc</t>
    </r>
  </si>
  <si>
    <r>
      <t>C</t>
    </r>
    <r>
      <rPr>
        <vertAlign val="subscript"/>
        <sz val="11"/>
        <color theme="1"/>
        <rFont val="Calibri"/>
        <family val="2"/>
        <scheme val="minor"/>
      </rPr>
      <t>pd</t>
    </r>
  </si>
  <si>
    <r>
      <t>C</t>
    </r>
    <r>
      <rPr>
        <vertAlign val="subscript"/>
        <sz val="11"/>
        <color theme="1"/>
        <rFont val="Calibri"/>
        <family val="2"/>
        <scheme val="minor"/>
      </rPr>
      <t>p</t>
    </r>
  </si>
  <si>
    <t>J/(mol·K)</t>
  </si>
  <si>
    <r>
      <t>H</t>
    </r>
    <r>
      <rPr>
        <vertAlign val="subscript"/>
        <sz val="11"/>
        <color theme="1"/>
        <rFont val="Calibri"/>
        <family val="2"/>
        <scheme val="minor"/>
      </rPr>
      <t>m</t>
    </r>
  </si>
  <si>
    <r>
      <t>H</t>
    </r>
    <r>
      <rPr>
        <vertAlign val="subscript"/>
        <sz val="11"/>
        <color theme="1"/>
        <rFont val="Calibri"/>
        <family val="2"/>
        <scheme val="minor"/>
      </rPr>
      <t>v</t>
    </r>
  </si>
  <si>
    <r>
      <t>η</t>
    </r>
    <r>
      <rPr>
        <vertAlign val="subscript"/>
        <sz val="11"/>
        <color theme="1"/>
        <rFont val="Calibri"/>
        <family val="2"/>
        <scheme val="minor"/>
      </rPr>
      <t>a</t>
    </r>
  </si>
  <si>
    <r>
      <t>η</t>
    </r>
    <r>
      <rPr>
        <vertAlign val="subscript"/>
        <sz val="11"/>
        <color theme="1"/>
        <rFont val="Calibri"/>
        <family val="2"/>
        <scheme val="minor"/>
      </rPr>
      <t>b</t>
    </r>
  </si>
  <si>
    <t>η</t>
  </si>
  <si>
    <t>Pa s</t>
  </si>
  <si>
    <t>=CH2</t>
  </si>
  <si>
    <t>=CH-</t>
  </si>
  <si>
    <t>=O (andere oben)</t>
  </si>
  <si>
    <t>=NH</t>
  </si>
  <si>
    <t>Beispiel Aceton</t>
  </si>
  <si>
    <t>Berechnungsmethoden aus https://de.wikipedia.org/wiki/Joback-Methode</t>
  </si>
  <si>
    <t>Berechnung mit der Joback Methode</t>
  </si>
  <si>
    <r>
      <rPr>
        <sz val="11"/>
        <color theme="1"/>
        <rFont val="Symbol"/>
        <family val="1"/>
        <charset val="2"/>
      </rPr>
      <t>S</t>
    </r>
    <r>
      <rPr>
        <sz val="11"/>
        <color theme="1"/>
        <rFont val="Calibri"/>
        <family val="2"/>
        <scheme val="minor"/>
      </rPr>
      <t>Gi</t>
    </r>
  </si>
  <si>
    <t>T</t>
  </si>
  <si>
    <t>MG</t>
  </si>
  <si>
    <t>g/mol</t>
  </si>
  <si>
    <t>NA</t>
  </si>
  <si>
    <t>Schmelz-</t>
  </si>
  <si>
    <t>Verdampfungs</t>
  </si>
  <si>
    <t>Bildungs-</t>
  </si>
  <si>
    <t xml:space="preserve">Gibbs </t>
  </si>
  <si>
    <t>Std. Enthalpie</t>
  </si>
  <si>
    <t>ergänzt</t>
  </si>
  <si>
    <t>Joback Tabelle aus https://de.wikipedia.org/wiki/Joback-Methode entnommen</t>
  </si>
  <si>
    <t>31.06.2015</t>
  </si>
  <si>
    <t>N</t>
  </si>
  <si>
    <t>Summen</t>
  </si>
  <si>
    <t>-8,88-8</t>
  </si>
  <si>
    <t>Gesamt-Summen</t>
  </si>
  <si>
    <t>Z</t>
  </si>
  <si>
    <t>Molgewicht</t>
  </si>
  <si>
    <t>c</t>
  </si>
  <si>
    <t>Daten von Wikipedia</t>
  </si>
  <si>
    <t>Berechnen Stoff</t>
  </si>
  <si>
    <t xml:space="preserve"> </t>
  </si>
  <si>
    <t>Meßwert</t>
  </si>
  <si>
    <t>https://de.wikipedia.org/wiki/Joback-Methode</t>
  </si>
  <si>
    <t>prüfen</t>
  </si>
  <si>
    <t>Bem</t>
  </si>
  <si>
    <r>
      <t>–CH</t>
    </r>
    <r>
      <rPr>
        <vertAlign val="subscript"/>
        <sz val="11"/>
        <color theme="1"/>
        <rFont val="Calibri"/>
        <family val="2"/>
        <scheme val="minor"/>
      </rPr>
      <t>3</t>
    </r>
  </si>
  <si>
    <t>cm³/mol</t>
  </si>
  <si>
    <t>°C</t>
  </si>
  <si>
    <t>Std SI</t>
  </si>
  <si>
    <t>Si</t>
  </si>
  <si>
    <t>Vergleich mit https://de.wikipedia.org/wiki/Joback-Methode</t>
  </si>
  <si>
    <t>ok</t>
  </si>
  <si>
    <t>Cpa</t>
  </si>
  <si>
    <t>Cpb</t>
  </si>
  <si>
    <t>Cpc</t>
  </si>
  <si>
    <t>Cpd</t>
  </si>
  <si>
    <t>Hv</t>
  </si>
  <si>
    <t>T [°C]</t>
  </si>
  <si>
    <t>J/(mol.K)</t>
  </si>
  <si>
    <t>ηa</t>
  </si>
  <si>
    <t>ηb</t>
  </si>
  <si>
    <t>Pas</t>
  </si>
  <si>
    <t>nein</t>
  </si>
  <si>
    <t>mPas</t>
  </si>
  <si>
    <r>
      <t>kr. Temp T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</si>
  <si>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kr. Druck P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</si>
  <si>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kr. Vol V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</si>
  <si>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Siedetemp T</t>
    </r>
    <r>
      <rPr>
        <b/>
        <vertAlign val="subscript"/>
        <sz val="11"/>
        <color theme="1"/>
        <rFont val="Calibri"/>
        <family val="2"/>
        <scheme val="minor"/>
      </rPr>
      <t xml:space="preserve">b  </t>
    </r>
  </si>
  <si>
    <r>
      <t>Schmelz #T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</si>
  <si>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t>Bild. H</t>
    </r>
    <r>
      <rPr>
        <b/>
        <vertAlign val="subscript"/>
        <sz val="11"/>
        <color theme="1"/>
        <rFont val="Calibri"/>
        <family val="2"/>
        <scheme val="minor"/>
      </rPr>
      <t>f</t>
    </r>
  </si>
  <si>
    <r>
      <t>Bild. G</t>
    </r>
    <r>
      <rPr>
        <b/>
        <vertAlign val="subscript"/>
        <sz val="11"/>
        <color theme="1"/>
        <rFont val="Calibri"/>
        <family val="2"/>
        <scheme val="minor"/>
      </rPr>
      <t>f</t>
    </r>
  </si>
  <si>
    <t>Spez. H Cp</t>
  </si>
  <si>
    <t>Schm Hm</t>
  </si>
  <si>
    <t xml:space="preserve">aus </t>
  </si>
  <si>
    <t xml:space="preserve">In </t>
  </si>
  <si>
    <t>ist die Formel falsch</t>
  </si>
  <si>
    <t>Diese aus einem Artikel von Gmehling ist korrekt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</si>
</sst>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E+0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Symbol"/>
      <family val="1"/>
      <charset val="2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>
      <alignment wrapText="1"/>
    </xf>
    <xf numFmtId="49" fontId="5" fillId="0" borderId="0" xfId="1" applyNumberFormat="1" applyAlignment="1" applyProtection="1"/>
    <xf numFmtId="49" fontId="0" fillId="0" borderId="0" xfId="0" applyNumberFormat="1"/>
    <xf numFmtId="49" fontId="1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right" wrapText="1"/>
    </xf>
    <xf numFmtId="14" fontId="0" fillId="0" borderId="0" xfId="0" applyNumberFormat="1"/>
    <xf numFmtId="164" fontId="0" fillId="0" borderId="0" xfId="0" applyNumberFormat="1"/>
    <xf numFmtId="1" fontId="0" fillId="0" borderId="0" xfId="0" applyNumberFormat="1" applyAlignment="1">
      <alignment horizontal="right" wrapText="1"/>
    </xf>
    <xf numFmtId="11" fontId="0" fillId="0" borderId="0" xfId="0" applyNumberFormat="1"/>
    <xf numFmtId="49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164" fontId="7" fillId="0" borderId="0" xfId="0" applyNumberFormat="1" applyFont="1" applyAlignment="1">
      <alignment horizontal="right" wrapText="1"/>
    </xf>
    <xf numFmtId="0" fontId="7" fillId="0" borderId="0" xfId="0" applyFont="1"/>
    <xf numFmtId="2" fontId="0" fillId="0" borderId="0" xfId="0" applyNumberFormat="1" applyAlignment="1">
      <alignment wrapText="1"/>
    </xf>
    <xf numFmtId="2" fontId="9" fillId="0" borderId="0" xfId="1" applyNumberFormat="1" applyFont="1" applyAlignment="1" applyProtection="1">
      <alignment wrapText="1"/>
    </xf>
    <xf numFmtId="1" fontId="0" fillId="0" borderId="0" xfId="0" applyNumberFormat="1" applyAlignment="1">
      <alignment wrapText="1"/>
    </xf>
    <xf numFmtId="1" fontId="0" fillId="0" borderId="0" xfId="0" applyNumberFormat="1"/>
    <xf numFmtId="165" fontId="0" fillId="0" borderId="0" xfId="0" applyNumberForma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0" fillId="2" borderId="0" xfId="0" applyNumberFormat="1" applyFill="1" applyAlignment="1">
      <alignment wrapText="1"/>
    </xf>
    <xf numFmtId="1" fontId="0" fillId="2" borderId="0" xfId="0" applyNumberFormat="1" applyFill="1" applyAlignment="1">
      <alignment wrapText="1"/>
    </xf>
    <xf numFmtId="164" fontId="0" fillId="2" borderId="0" xfId="0" applyNumberFormat="1" applyFill="1" applyAlignment="1">
      <alignment wrapText="1"/>
    </xf>
    <xf numFmtId="165" fontId="0" fillId="2" borderId="0" xfId="0" applyNumberFormat="1" applyFill="1" applyAlignment="1">
      <alignment wrapText="1"/>
    </xf>
    <xf numFmtId="2" fontId="0" fillId="2" borderId="0" xfId="0" applyNumberFormat="1" applyFill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3" borderId="0" xfId="0" applyNumberFormat="1" applyFill="1" applyAlignment="1">
      <alignment wrapText="1"/>
    </xf>
    <xf numFmtId="2" fontId="0" fillId="3" borderId="0" xfId="0" applyNumberFormat="1" applyFill="1" applyAlignment="1">
      <alignment wrapText="1"/>
    </xf>
    <xf numFmtId="49" fontId="0" fillId="0" borderId="0" xfId="0" applyNumberFormat="1" applyFill="1" applyAlignment="1">
      <alignment wrapText="1"/>
    </xf>
    <xf numFmtId="2" fontId="0" fillId="0" borderId="0" xfId="0" applyNumberFormat="1" applyFill="1" applyAlignment="1">
      <alignment wrapText="1"/>
    </xf>
    <xf numFmtId="0" fontId="0" fillId="0" borderId="0" xfId="0" applyFill="1"/>
    <xf numFmtId="2" fontId="0" fillId="0" borderId="0" xfId="0" applyNumberFormat="1"/>
    <xf numFmtId="2" fontId="5" fillId="0" borderId="0" xfId="1" applyNumberFormat="1" applyAlignment="1" applyProtection="1"/>
    <xf numFmtId="0" fontId="0" fillId="0" borderId="0" xfId="0" applyFill="1" applyAlignment="1">
      <alignment wrapText="1"/>
    </xf>
    <xf numFmtId="1" fontId="0" fillId="0" borderId="0" xfId="0" applyNumberFormat="1" applyFill="1" applyAlignment="1">
      <alignment wrapText="1"/>
    </xf>
    <xf numFmtId="164" fontId="0" fillId="0" borderId="0" xfId="0" applyNumberFormat="1" applyFill="1" applyAlignment="1">
      <alignment wrapText="1"/>
    </xf>
    <xf numFmtId="165" fontId="0" fillId="0" borderId="0" xfId="0" applyNumberFormat="1" applyFill="1" applyAlignment="1">
      <alignment wrapText="1"/>
    </xf>
    <xf numFmtId="165" fontId="0" fillId="0" borderId="0" xfId="0" applyNumberForma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wrapText="1"/>
    </xf>
    <xf numFmtId="11" fontId="0" fillId="0" borderId="0" xfId="0" applyNumberFormat="1" applyAlignment="1">
      <alignment wrapText="1"/>
    </xf>
    <xf numFmtId="164" fontId="0" fillId="3" borderId="0" xfId="0" applyNumberFormat="1" applyFill="1" applyAlignment="1">
      <alignment wrapText="1"/>
    </xf>
    <xf numFmtId="165" fontId="0" fillId="3" borderId="0" xfId="0" applyNumberForma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4" borderId="0" xfId="0" applyFont="1" applyFill="1" applyAlignment="1">
      <alignment horizontal="center" wrapText="1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Fill="1" applyAlignment="1">
      <alignment horizontal="left" wrapText="1"/>
    </xf>
    <xf numFmtId="1" fontId="0" fillId="3" borderId="0" xfId="0" applyNumberFormat="1" applyFill="1" applyAlignment="1">
      <alignment wrapText="1"/>
    </xf>
    <xf numFmtId="2" fontId="0" fillId="0" borderId="0" xfId="0" applyNumberFormat="1" applyFill="1" applyAlignment="1"/>
    <xf numFmtId="49" fontId="0" fillId="0" borderId="0" xfId="0" applyNumberFormat="1" applyFill="1" applyAlignment="1"/>
    <xf numFmtId="0" fontId="0" fillId="0" borderId="0" xfId="0" applyFill="1" applyAlignment="1"/>
    <xf numFmtId="164" fontId="0" fillId="0" borderId="0" xfId="0" applyNumberFormat="1" applyFill="1" applyAlignment="1"/>
    <xf numFmtId="49" fontId="0" fillId="0" borderId="0" xfId="0" applyNumberFormat="1" applyFill="1" applyAlignment="1">
      <alignment horizontal="center" wrapText="1"/>
    </xf>
    <xf numFmtId="49" fontId="10" fillId="0" borderId="0" xfId="0" applyNumberFormat="1" applyFont="1" applyFill="1" applyAlignment="1">
      <alignment horizontal="center" wrapText="1"/>
    </xf>
    <xf numFmtId="165" fontId="0" fillId="0" borderId="0" xfId="0" applyNumberFormat="1" applyFill="1" applyAlignment="1"/>
    <xf numFmtId="11" fontId="0" fillId="0" borderId="0" xfId="0" applyNumberFormat="1" applyFill="1" applyAlignment="1"/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  <colors>
    <mruColors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de.wikipedia.org/wiki/Datei:AcetonGruppen.PNG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de.wikipedia.org/wiki/Wikipedia:Belege" TargetMode="Externa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89</xdr:row>
      <xdr:rowOff>0</xdr:rowOff>
    </xdr:from>
    <xdr:to>
      <xdr:col>0</xdr:col>
      <xdr:colOff>228600</xdr:colOff>
      <xdr:row>90</xdr:row>
      <xdr:rowOff>38100</xdr:rowOff>
    </xdr:to>
    <xdr:pic>
      <xdr:nvPicPr>
        <xdr:cNvPr id="1065" name="Picture 41" descr="https://upload.wikimedia.org/wikipedia/commons/thumb/b/b7/Qsicon_Quelle.svg/24px-Qsicon_Quelle.svg.png">
          <a:hlinkClick xmlns:r="http://schemas.openxmlformats.org/officeDocument/2006/relationships" r:id="rId1" tooltip="Belege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3916025"/>
          <a:ext cx="228600" cy="2286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866775</xdr:colOff>
      <xdr:row>93</xdr:row>
      <xdr:rowOff>38100</xdr:rowOff>
    </xdr:to>
    <xdr:pic>
      <xdr:nvPicPr>
        <xdr:cNvPr id="1066" name="Picture 42" descr="https://upload.wikimedia.org/wikipedia/commons/7/75/AcetonGruppen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9126200"/>
          <a:ext cx="866775" cy="8001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98</xdr:row>
      <xdr:rowOff>0</xdr:rowOff>
    </xdr:from>
    <xdr:to>
      <xdr:col>8</xdr:col>
      <xdr:colOff>457200</xdr:colOff>
      <xdr:row>99</xdr:row>
      <xdr:rowOff>38100</xdr:rowOff>
    </xdr:to>
    <xdr:pic>
      <xdr:nvPicPr>
        <xdr:cNvPr id="1067" name="Picture 43" descr="\sum G_i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810000" y="20878800"/>
          <a:ext cx="457200" cy="22860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47625</xdr:colOff>
      <xdr:row>71</xdr:row>
      <xdr:rowOff>28575</xdr:rowOff>
    </xdr:from>
    <xdr:to>
      <xdr:col>17</xdr:col>
      <xdr:colOff>114300</xdr:colOff>
      <xdr:row>75</xdr:row>
      <xdr:rowOff>28575</xdr:rowOff>
    </xdr:to>
    <xdr:pic>
      <xdr:nvPicPr>
        <xdr:cNvPr id="2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686800" y="13782675"/>
          <a:ext cx="4638675" cy="8382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171450</xdr:rowOff>
    </xdr:from>
    <xdr:to>
      <xdr:col>18</xdr:col>
      <xdr:colOff>47625</xdr:colOff>
      <xdr:row>36</xdr:row>
      <xdr:rowOff>161925</xdr:rowOff>
    </xdr:to>
    <xdr:pic>
      <xdr:nvPicPr>
        <xdr:cNvPr id="206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42950"/>
          <a:ext cx="13763625" cy="62769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"/>
  <sheetViews>
    <sheetView workbookViewId="0">
      <selection activeCell="D7" sqref="D7"/>
    </sheetView>
  </sheetViews>
  <sheetFormatPr baseColWidth="10" defaultRowHeight="15"/>
  <sheetData>
    <row r="1" spans="1:3">
      <c r="A1" t="s">
        <v>97</v>
      </c>
    </row>
    <row r="2" spans="1:3">
      <c r="A2" t="s">
        <v>118</v>
      </c>
      <c r="C2" t="s">
        <v>109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1"/>
  <dimension ref="A1:T119"/>
  <sheetViews>
    <sheetView tabSelected="1" topLeftCell="A55" workbookViewId="0">
      <selection activeCell="O79" sqref="O79"/>
    </sheetView>
  </sheetViews>
  <sheetFormatPr baseColWidth="10" defaultRowHeight="15"/>
  <cols>
    <col min="1" max="1" width="19.140625" style="7" customWidth="1"/>
    <col min="2" max="2" width="11.7109375" style="7" customWidth="1"/>
    <col min="3" max="3" width="8.140625" style="7" customWidth="1"/>
    <col min="4" max="4" width="10.5703125" style="7" customWidth="1"/>
    <col min="6" max="6" width="11.42578125" customWidth="1"/>
  </cols>
  <sheetData>
    <row r="1" spans="1:20">
      <c r="A1" s="7" t="s">
        <v>109</v>
      </c>
      <c r="I1" s="10" t="s">
        <v>110</v>
      </c>
    </row>
    <row r="2" spans="1:20">
      <c r="A2" s="7" t="s">
        <v>95</v>
      </c>
    </row>
    <row r="4" spans="1:20" ht="18">
      <c r="A4" s="52" t="s">
        <v>1</v>
      </c>
      <c r="B4" s="14" t="s">
        <v>111</v>
      </c>
      <c r="C4" s="29" t="s">
        <v>115</v>
      </c>
      <c r="D4" s="14" t="s">
        <v>100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  <c r="L4" s="1" t="s">
        <v>9</v>
      </c>
      <c r="M4" s="30" t="s">
        <v>10</v>
      </c>
      <c r="N4" s="30" t="s">
        <v>117</v>
      </c>
      <c r="O4" s="1" t="s">
        <v>11</v>
      </c>
      <c r="P4" s="1" t="s">
        <v>12</v>
      </c>
      <c r="Q4" s="1" t="s">
        <v>13</v>
      </c>
      <c r="R4" s="1" t="s">
        <v>9</v>
      </c>
      <c r="S4" s="1" t="s">
        <v>10</v>
      </c>
      <c r="T4" s="44" t="s">
        <v>124</v>
      </c>
    </row>
    <row r="5" spans="1:20" ht="15" customHeight="1">
      <c r="A5" s="52"/>
      <c r="B5" s="14"/>
      <c r="C5" s="29"/>
      <c r="D5" s="14"/>
      <c r="E5" s="50" t="s">
        <v>14</v>
      </c>
      <c r="F5" s="50"/>
      <c r="G5" s="50"/>
      <c r="H5" s="50" t="s">
        <v>15</v>
      </c>
      <c r="I5" s="50"/>
      <c r="J5" s="4" t="s">
        <v>105</v>
      </c>
      <c r="K5" s="4" t="s">
        <v>106</v>
      </c>
      <c r="L5" s="50" t="s">
        <v>0</v>
      </c>
      <c r="M5" s="50"/>
      <c r="N5" s="50"/>
      <c r="O5" s="50"/>
      <c r="P5" s="4" t="s">
        <v>103</v>
      </c>
      <c r="Q5" s="4" t="s">
        <v>104</v>
      </c>
      <c r="R5" s="50" t="s">
        <v>19</v>
      </c>
      <c r="S5" s="50"/>
    </row>
    <row r="6" spans="1:20" ht="15" customHeight="1">
      <c r="A6" s="52"/>
      <c r="B6" s="14"/>
      <c r="C6" s="29"/>
      <c r="D6" s="14"/>
      <c r="E6" s="50"/>
      <c r="F6" s="50"/>
      <c r="G6" s="50"/>
      <c r="H6" s="50" t="s">
        <v>16</v>
      </c>
      <c r="I6" s="50"/>
      <c r="J6" s="50" t="s">
        <v>107</v>
      </c>
      <c r="K6" s="50"/>
      <c r="L6" s="50" t="s">
        <v>17</v>
      </c>
      <c r="M6" s="50"/>
      <c r="N6" s="50"/>
      <c r="O6" s="50"/>
      <c r="P6" s="50" t="s">
        <v>18</v>
      </c>
      <c r="Q6" s="50"/>
      <c r="R6" s="50" t="s">
        <v>20</v>
      </c>
      <c r="S6" s="50"/>
    </row>
    <row r="7" spans="1:20" s="38" customFormat="1" ht="15" customHeight="1">
      <c r="A7" s="51" t="s">
        <v>21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</row>
    <row r="8" spans="1:20" ht="18">
      <c r="A8" s="5" t="s">
        <v>125</v>
      </c>
      <c r="B8" s="20">
        <v>2</v>
      </c>
      <c r="C8" s="20">
        <v>4</v>
      </c>
      <c r="D8" s="18">
        <v>15</v>
      </c>
      <c r="E8" s="9">
        <v>1.41E-2</v>
      </c>
      <c r="F8" s="9">
        <v>-1.1999999999999999E-3</v>
      </c>
      <c r="G8" s="9">
        <v>65</v>
      </c>
      <c r="H8" s="9">
        <v>23.58</v>
      </c>
      <c r="I8" s="9">
        <v>-5.0999999999999996</v>
      </c>
      <c r="J8" s="9">
        <v>-76.45</v>
      </c>
      <c r="K8" s="9">
        <v>-43.96</v>
      </c>
      <c r="L8" s="9">
        <v>19.5</v>
      </c>
      <c r="M8" s="42">
        <v>-8.0800000000000004E-3</v>
      </c>
      <c r="N8" s="42">
        <v>1.5300000000000001E-4</v>
      </c>
      <c r="O8" s="22">
        <v>-9.6699999999999999E-8</v>
      </c>
      <c r="P8" s="9">
        <v>0.90800000000000003</v>
      </c>
      <c r="Q8" s="9">
        <v>2.3730000000000002</v>
      </c>
      <c r="R8" s="9">
        <v>548.29</v>
      </c>
      <c r="S8" s="9">
        <v>-1.7190000000000001</v>
      </c>
    </row>
    <row r="9" spans="1:20" ht="18">
      <c r="A9" s="5" t="s">
        <v>23</v>
      </c>
      <c r="B9" s="20"/>
      <c r="C9" s="20">
        <v>3</v>
      </c>
      <c r="D9" s="18">
        <v>16</v>
      </c>
      <c r="E9" s="9">
        <v>1.89E-2</v>
      </c>
      <c r="F9" s="9">
        <v>0</v>
      </c>
      <c r="G9" s="9">
        <v>56</v>
      </c>
      <c r="H9" s="9">
        <v>22.88</v>
      </c>
      <c r="I9" s="9">
        <v>11.27</v>
      </c>
      <c r="J9" s="9">
        <v>-20.64</v>
      </c>
      <c r="K9" s="9">
        <v>8.42</v>
      </c>
      <c r="L9" s="9">
        <v>-0.90900000000000003</v>
      </c>
      <c r="M9" s="42">
        <v>9.5000000000000001E-2</v>
      </c>
      <c r="N9" s="42">
        <v>-5.4400000000000001E-5</v>
      </c>
      <c r="O9" s="22">
        <v>1.1900000000000001E-8</v>
      </c>
      <c r="P9" s="9">
        <v>2.59</v>
      </c>
      <c r="Q9" s="9">
        <v>2.226</v>
      </c>
      <c r="R9" s="9">
        <v>94.16</v>
      </c>
      <c r="S9" s="9">
        <v>-0.19900000000000001</v>
      </c>
    </row>
    <row r="10" spans="1:20">
      <c r="A10" s="5" t="s">
        <v>24</v>
      </c>
      <c r="B10" s="20"/>
      <c r="C10" s="20">
        <v>2</v>
      </c>
      <c r="D10" s="18">
        <v>17</v>
      </c>
      <c r="E10" s="9">
        <v>1.6400000000000001E-2</v>
      </c>
      <c r="F10" s="9">
        <v>2E-3</v>
      </c>
      <c r="G10" s="9">
        <v>41</v>
      </c>
      <c r="H10" s="9">
        <v>21.74</v>
      </c>
      <c r="I10" s="9">
        <v>12.64</v>
      </c>
      <c r="J10" s="9">
        <v>29.89</v>
      </c>
      <c r="K10" s="9">
        <v>58.36</v>
      </c>
      <c r="L10" s="9">
        <v>-23</v>
      </c>
      <c r="M10" s="42">
        <v>0.20399999999999999</v>
      </c>
      <c r="N10" s="42">
        <v>-2.6499999999999999E-4</v>
      </c>
      <c r="O10" s="22">
        <v>1.1999999999999999E-7</v>
      </c>
      <c r="P10" s="9">
        <v>0.749</v>
      </c>
      <c r="Q10" s="9">
        <v>1.6910000000000001</v>
      </c>
      <c r="R10" s="9">
        <v>-322.14999999999998</v>
      </c>
      <c r="S10" s="9">
        <v>1.1870000000000001</v>
      </c>
    </row>
    <row r="11" spans="1:20">
      <c r="A11" s="5" t="s">
        <v>25</v>
      </c>
      <c r="B11" s="20"/>
      <c r="C11" s="20">
        <v>1</v>
      </c>
      <c r="D11" s="18">
        <v>18</v>
      </c>
      <c r="E11" s="9">
        <v>6.7000000000000002E-3</v>
      </c>
      <c r="F11" s="9">
        <v>4.3E-3</v>
      </c>
      <c r="G11" s="9">
        <v>27</v>
      </c>
      <c r="H11" s="9">
        <v>18.25</v>
      </c>
      <c r="I11" s="9">
        <v>46.43</v>
      </c>
      <c r="J11" s="9">
        <v>82.23</v>
      </c>
      <c r="K11" s="9">
        <v>116.02</v>
      </c>
      <c r="L11" s="9">
        <v>-66.2</v>
      </c>
      <c r="M11" s="42">
        <v>0.42699999999999999</v>
      </c>
      <c r="N11" s="42">
        <v>-6.4099999999999997E-4</v>
      </c>
      <c r="O11" s="22">
        <v>3.0100000000000001E-7</v>
      </c>
      <c r="P11" s="9">
        <v>-1.46</v>
      </c>
      <c r="Q11" s="9">
        <v>0.63600000000000001</v>
      </c>
      <c r="R11" s="9">
        <v>-573.55999999999995</v>
      </c>
      <c r="S11" s="9">
        <v>2.3069999999999999</v>
      </c>
    </row>
    <row r="12" spans="1:20">
      <c r="A12" s="5" t="s">
        <v>91</v>
      </c>
      <c r="B12" s="20"/>
      <c r="C12" s="20">
        <v>3</v>
      </c>
      <c r="D12" s="18">
        <v>19</v>
      </c>
      <c r="E12" s="9">
        <v>1.1299999999999999E-2</v>
      </c>
      <c r="F12" s="9">
        <v>-2.8E-3</v>
      </c>
      <c r="G12" s="9">
        <v>56</v>
      </c>
      <c r="H12" s="9">
        <v>18.18</v>
      </c>
      <c r="I12" s="9">
        <v>-4.32</v>
      </c>
      <c r="J12" s="9">
        <v>-9.6300000000000008</v>
      </c>
      <c r="K12" s="9">
        <v>3.77</v>
      </c>
      <c r="L12" s="9">
        <v>23.6</v>
      </c>
      <c r="M12" s="42">
        <v>-3.8100000000000002E-2</v>
      </c>
      <c r="N12" s="42">
        <v>1.7200000000000001E-4</v>
      </c>
      <c r="O12" s="22">
        <v>-1.03E-7</v>
      </c>
      <c r="P12" s="9">
        <v>-0.47299999999999998</v>
      </c>
      <c r="Q12" s="9">
        <v>1.724</v>
      </c>
      <c r="R12" s="9">
        <v>495.01</v>
      </c>
      <c r="S12" s="9">
        <v>-1.5389999999999999</v>
      </c>
    </row>
    <row r="13" spans="1:20">
      <c r="A13" s="5" t="s">
        <v>92</v>
      </c>
      <c r="B13" s="20"/>
      <c r="C13" s="20">
        <v>2</v>
      </c>
      <c r="D13" s="18">
        <v>20</v>
      </c>
      <c r="E13" s="9">
        <v>1.29E-2</v>
      </c>
      <c r="F13" s="9">
        <v>-5.9999999999999995E-4</v>
      </c>
      <c r="G13" s="9">
        <v>46</v>
      </c>
      <c r="H13" s="9">
        <v>24.96</v>
      </c>
      <c r="I13" s="9">
        <v>8.73</v>
      </c>
      <c r="J13" s="9">
        <v>37.97</v>
      </c>
      <c r="K13" s="9">
        <v>48.53</v>
      </c>
      <c r="L13" s="9">
        <v>-8</v>
      </c>
      <c r="M13" s="42">
        <v>0.105</v>
      </c>
      <c r="N13" s="42">
        <v>-9.6299999999999996E-5</v>
      </c>
      <c r="O13" s="22">
        <v>3.5600000000000001E-8</v>
      </c>
      <c r="P13" s="9">
        <v>2.6909999999999998</v>
      </c>
      <c r="Q13" s="9">
        <v>2.2050000000000001</v>
      </c>
      <c r="R13" s="9">
        <v>82.28</v>
      </c>
      <c r="S13" s="9">
        <v>-0.24199999999999999</v>
      </c>
    </row>
    <row r="14" spans="1:20">
      <c r="A14" s="5" t="s">
        <v>26</v>
      </c>
      <c r="B14" s="20"/>
      <c r="C14" s="20">
        <v>1</v>
      </c>
      <c r="D14" s="18">
        <v>21</v>
      </c>
      <c r="E14" s="9">
        <v>1.17E-2</v>
      </c>
      <c r="F14" s="9">
        <v>1.1000000000000001E-3</v>
      </c>
      <c r="G14" s="9">
        <v>38</v>
      </c>
      <c r="H14" s="9">
        <v>24.14</v>
      </c>
      <c r="I14" s="9">
        <v>11.14</v>
      </c>
      <c r="J14" s="9">
        <v>83.99</v>
      </c>
      <c r="K14" s="9">
        <v>92.36</v>
      </c>
      <c r="L14" s="9">
        <v>-28.1</v>
      </c>
      <c r="M14" s="42">
        <v>0.20799999999999999</v>
      </c>
      <c r="N14" s="42">
        <v>-3.0600000000000001E-4</v>
      </c>
      <c r="O14" s="22">
        <v>1.4600000000000001E-7</v>
      </c>
      <c r="P14" s="9">
        <v>3.0630000000000002</v>
      </c>
      <c r="Q14" s="9">
        <v>2.1379999999999999</v>
      </c>
      <c r="R14" s="16">
        <v>82.28</v>
      </c>
      <c r="S14" s="16">
        <v>-0.24299999999999999</v>
      </c>
      <c r="T14" s="17" t="s">
        <v>108</v>
      </c>
    </row>
    <row r="15" spans="1:20">
      <c r="A15" s="5" t="s">
        <v>27</v>
      </c>
      <c r="B15" s="20"/>
      <c r="C15" s="20">
        <v>1</v>
      </c>
      <c r="D15" s="18">
        <v>22</v>
      </c>
      <c r="E15" s="9">
        <v>2.5999999999999999E-3</v>
      </c>
      <c r="F15" s="9">
        <v>2.8E-3</v>
      </c>
      <c r="G15" s="9">
        <v>36</v>
      </c>
      <c r="H15" s="9">
        <v>26.15</v>
      </c>
      <c r="I15" s="9">
        <v>17.78</v>
      </c>
      <c r="J15" s="9">
        <v>142.13999999999999</v>
      </c>
      <c r="K15" s="9">
        <v>136.69999999999999</v>
      </c>
      <c r="L15" s="9">
        <v>27.4</v>
      </c>
      <c r="M15" s="42">
        <v>-5.57E-2</v>
      </c>
      <c r="N15" s="42">
        <v>1.01E-4</v>
      </c>
      <c r="O15" s="22">
        <v>-5.02E-8</v>
      </c>
      <c r="P15" s="9">
        <v>4.72</v>
      </c>
      <c r="Q15" s="9">
        <v>2.661</v>
      </c>
      <c r="R15" s="16">
        <v>82.28</v>
      </c>
      <c r="S15" s="16">
        <v>-0.24399999999999999</v>
      </c>
    </row>
    <row r="16" spans="1:20">
      <c r="A16" s="5" t="s">
        <v>28</v>
      </c>
      <c r="B16" s="20"/>
      <c r="C16" s="20">
        <v>2</v>
      </c>
      <c r="D16" s="18">
        <v>23</v>
      </c>
      <c r="E16" s="9">
        <v>2.7000000000000001E-3</v>
      </c>
      <c r="F16" s="9">
        <v>-8.0000000000000004E-4</v>
      </c>
      <c r="G16" s="9">
        <v>46</v>
      </c>
      <c r="H16" s="9">
        <v>9.1999999999999993</v>
      </c>
      <c r="I16" s="9">
        <v>-11.18</v>
      </c>
      <c r="J16" s="9">
        <v>79.3</v>
      </c>
      <c r="K16" s="9">
        <v>77.709999999999994</v>
      </c>
      <c r="L16" s="9">
        <v>24.5</v>
      </c>
      <c r="M16" s="42">
        <v>-2.7099999999999999E-2</v>
      </c>
      <c r="N16" s="42">
        <v>1.11E-4</v>
      </c>
      <c r="O16" s="22">
        <v>-6.7799999999999998E-8</v>
      </c>
      <c r="P16" s="9">
        <v>2.3220000000000001</v>
      </c>
      <c r="Q16" s="9">
        <v>1.155</v>
      </c>
      <c r="R16" s="16">
        <v>82.28</v>
      </c>
      <c r="S16" s="16">
        <v>-0.245</v>
      </c>
    </row>
    <row r="17" spans="1:20">
      <c r="A17" s="5" t="s">
        <v>29</v>
      </c>
      <c r="B17" s="20"/>
      <c r="C17" s="20">
        <v>1</v>
      </c>
      <c r="D17" s="18">
        <v>24</v>
      </c>
      <c r="E17" s="9">
        <v>2E-3</v>
      </c>
      <c r="F17" s="9">
        <v>1.6000000000000001E-3</v>
      </c>
      <c r="G17" s="9">
        <v>37</v>
      </c>
      <c r="H17" s="9">
        <v>27.38</v>
      </c>
      <c r="I17" s="9">
        <v>64.319999999999993</v>
      </c>
      <c r="J17" s="9">
        <v>115.51</v>
      </c>
      <c r="K17" s="9">
        <v>109.82</v>
      </c>
      <c r="L17" s="9">
        <v>7.87</v>
      </c>
      <c r="M17" s="42">
        <v>2.01E-2</v>
      </c>
      <c r="N17" s="42">
        <v>-8.3299999999999999E-6</v>
      </c>
      <c r="O17" s="22">
        <v>1.39E-9</v>
      </c>
      <c r="P17" s="9">
        <v>4.1509999999999998</v>
      </c>
      <c r="Q17" s="9">
        <v>3.302</v>
      </c>
      <c r="R17" s="16">
        <v>82.28</v>
      </c>
      <c r="S17" s="16">
        <v>-0.246</v>
      </c>
    </row>
    <row r="18" spans="1:20">
      <c r="A18" s="24" t="s">
        <v>112</v>
      </c>
      <c r="B18" s="25">
        <f>SUM(B8:B17)</f>
        <v>2</v>
      </c>
      <c r="C18" s="26">
        <f>SUMPRODUCT($B$8:$B$17,C8:C17)</f>
        <v>8</v>
      </c>
      <c r="D18" s="26">
        <f>SUMPRODUCT($B$8:$B$17,D8:D17)</f>
        <v>30</v>
      </c>
      <c r="E18" s="26">
        <f>SUMPRODUCT($B$8:$B$17,E8:E17)</f>
        <v>2.8199999999999999E-2</v>
      </c>
      <c r="F18" s="26">
        <f t="shared" ref="F18:S18" si="0">SUMPRODUCT($B$8:$B$17,F8:F17)</f>
        <v>-2.3999999999999998E-3</v>
      </c>
      <c r="G18" s="26">
        <f t="shared" si="0"/>
        <v>130</v>
      </c>
      <c r="H18" s="26">
        <f t="shared" si="0"/>
        <v>47.16</v>
      </c>
      <c r="I18" s="26">
        <f t="shared" si="0"/>
        <v>-10.199999999999999</v>
      </c>
      <c r="J18" s="26">
        <f t="shared" si="0"/>
        <v>-152.9</v>
      </c>
      <c r="K18" s="26">
        <f t="shared" si="0"/>
        <v>-87.92</v>
      </c>
      <c r="L18" s="26">
        <f t="shared" si="0"/>
        <v>39</v>
      </c>
      <c r="M18" s="27">
        <f t="shared" si="0"/>
        <v>-1.6160000000000001E-2</v>
      </c>
      <c r="N18" s="27">
        <f t="shared" si="0"/>
        <v>3.0600000000000001E-4</v>
      </c>
      <c r="O18" s="27">
        <f t="shared" si="0"/>
        <v>-1.934E-7</v>
      </c>
      <c r="P18" s="26">
        <f t="shared" si="0"/>
        <v>1.8160000000000001</v>
      </c>
      <c r="Q18" s="26">
        <f t="shared" si="0"/>
        <v>4.7460000000000004</v>
      </c>
      <c r="R18" s="26">
        <f t="shared" si="0"/>
        <v>1096.58</v>
      </c>
      <c r="S18" s="26">
        <f t="shared" si="0"/>
        <v>-3.4380000000000002</v>
      </c>
    </row>
    <row r="19" spans="1:20" s="35" customFormat="1">
      <c r="A19" s="33"/>
      <c r="B19" s="39"/>
      <c r="C19" s="39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P19" s="40"/>
      <c r="Q19" s="40"/>
      <c r="R19" s="40"/>
      <c r="S19" s="40"/>
    </row>
    <row r="20" spans="1:20" s="35" customFormat="1" ht="15" customHeight="1">
      <c r="A20" s="51" t="s">
        <v>30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</row>
    <row r="21" spans="1:20" ht="18">
      <c r="A21" s="5" t="s">
        <v>23</v>
      </c>
      <c r="B21" s="20"/>
      <c r="C21" s="20">
        <v>3</v>
      </c>
      <c r="D21" s="18">
        <v>14</v>
      </c>
      <c r="E21" s="9">
        <v>0.01</v>
      </c>
      <c r="F21" s="9">
        <v>2.5000000000000001E-3</v>
      </c>
      <c r="G21" s="9">
        <v>48</v>
      </c>
      <c r="H21" s="9">
        <v>27.15</v>
      </c>
      <c r="I21" s="9">
        <v>7.75</v>
      </c>
      <c r="J21" s="9">
        <v>-26.8</v>
      </c>
      <c r="K21" s="9">
        <v>-3.68</v>
      </c>
      <c r="L21" s="9">
        <v>-6.03</v>
      </c>
      <c r="M21" s="46">
        <v>8.5400000000000004E-2</v>
      </c>
      <c r="N21" s="46">
        <v>-7.9999999999999996E-6</v>
      </c>
      <c r="O21" s="22">
        <v>-1.7999999999999999E-8</v>
      </c>
      <c r="P21" s="9">
        <v>0.49</v>
      </c>
      <c r="Q21" s="9">
        <v>2.3980000000000001</v>
      </c>
      <c r="R21" s="9">
        <v>307.52999999999997</v>
      </c>
      <c r="S21" s="9">
        <v>-0.79800000000000004</v>
      </c>
    </row>
    <row r="22" spans="1:20">
      <c r="A22" s="5" t="s">
        <v>24</v>
      </c>
      <c r="B22" s="20"/>
      <c r="C22" s="20">
        <v>2</v>
      </c>
      <c r="D22" s="18">
        <v>15</v>
      </c>
      <c r="E22" s="9">
        <v>1.2200000000000001E-2</v>
      </c>
      <c r="F22" s="9">
        <v>4.0000000000000002E-4</v>
      </c>
      <c r="G22" s="9">
        <v>38</v>
      </c>
      <c r="H22" s="9">
        <v>21.78</v>
      </c>
      <c r="I22" s="9">
        <v>19.88</v>
      </c>
      <c r="J22" s="9">
        <v>8.67</v>
      </c>
      <c r="K22" s="9">
        <v>40.99</v>
      </c>
      <c r="L22" s="9">
        <v>-20.5</v>
      </c>
      <c r="M22" s="46">
        <v>0.16200000000000001</v>
      </c>
      <c r="N22" s="46">
        <v>-1.6000000000000001E-4</v>
      </c>
      <c r="O22" s="22">
        <v>6.2400000000000003E-8</v>
      </c>
      <c r="P22" s="9">
        <v>3.2429999999999999</v>
      </c>
      <c r="Q22" s="9">
        <v>1.9419999999999999</v>
      </c>
      <c r="R22" s="9">
        <v>-394.29</v>
      </c>
      <c r="S22" s="9">
        <v>1.2509999999999999</v>
      </c>
    </row>
    <row r="23" spans="1:20">
      <c r="A23" s="5" t="s">
        <v>25</v>
      </c>
      <c r="B23" s="20"/>
      <c r="C23" s="20">
        <v>1</v>
      </c>
      <c r="D23" s="18">
        <v>16</v>
      </c>
      <c r="E23" s="9">
        <v>4.1999999999999997E-3</v>
      </c>
      <c r="F23" s="9">
        <v>6.1000000000000004E-3</v>
      </c>
      <c r="G23" s="9">
        <v>27</v>
      </c>
      <c r="H23" s="9">
        <v>21.32</v>
      </c>
      <c r="I23" s="9">
        <v>60.15</v>
      </c>
      <c r="J23" s="9">
        <v>79.72</v>
      </c>
      <c r="K23" s="9">
        <v>87.88</v>
      </c>
      <c r="L23" s="9">
        <v>-90.9</v>
      </c>
      <c r="M23" s="46">
        <v>0.16200000000000001</v>
      </c>
      <c r="N23" s="46">
        <v>-1.6000000000000001E-4</v>
      </c>
      <c r="O23" s="22">
        <v>4.6899999999999998E-7</v>
      </c>
      <c r="P23" s="9">
        <v>-1.373</v>
      </c>
      <c r="Q23" s="9">
        <v>0.64400000000000002</v>
      </c>
      <c r="R23" s="16">
        <v>-394.3</v>
      </c>
      <c r="S23" s="16">
        <v>1.2509999999999999</v>
      </c>
      <c r="T23" s="17" t="s">
        <v>108</v>
      </c>
    </row>
    <row r="24" spans="1:20">
      <c r="A24" s="5" t="s">
        <v>92</v>
      </c>
      <c r="B24" s="20"/>
      <c r="C24" s="20">
        <v>2</v>
      </c>
      <c r="D24" s="18">
        <v>17</v>
      </c>
      <c r="E24" s="9">
        <v>8.2000000000000007E-3</v>
      </c>
      <c r="F24" s="9">
        <v>1.1000000000000001E-3</v>
      </c>
      <c r="G24" s="9">
        <v>41</v>
      </c>
      <c r="H24" s="9">
        <v>26.73</v>
      </c>
      <c r="I24" s="9">
        <v>8.1300000000000008</v>
      </c>
      <c r="J24" s="9">
        <v>2.09</v>
      </c>
      <c r="K24" s="9">
        <v>11.3</v>
      </c>
      <c r="L24" s="9">
        <v>-2.14</v>
      </c>
      <c r="M24" s="46">
        <v>5.74E-2</v>
      </c>
      <c r="N24" s="46">
        <v>-1.64E-6</v>
      </c>
      <c r="O24" s="22">
        <v>-1.59E-8</v>
      </c>
      <c r="P24" s="9">
        <v>1.101</v>
      </c>
      <c r="Q24" s="9">
        <v>2.544</v>
      </c>
      <c r="R24" s="9">
        <v>259.64999999999998</v>
      </c>
      <c r="S24" s="9">
        <v>-0.70199999999999996</v>
      </c>
    </row>
    <row r="25" spans="1:20">
      <c r="A25" s="5" t="s">
        <v>26</v>
      </c>
      <c r="B25" s="20"/>
      <c r="C25" s="20">
        <v>1</v>
      </c>
      <c r="D25" s="18">
        <v>18</v>
      </c>
      <c r="E25" s="9">
        <v>1.43E-2</v>
      </c>
      <c r="F25" s="9">
        <v>8.0000000000000004E-4</v>
      </c>
      <c r="G25" s="9">
        <v>32</v>
      </c>
      <c r="H25" s="9">
        <v>31.01</v>
      </c>
      <c r="I25" s="9">
        <v>37.020000000000003</v>
      </c>
      <c r="J25" s="9">
        <v>46.43</v>
      </c>
      <c r="K25" s="9">
        <v>54.05</v>
      </c>
      <c r="L25" s="9">
        <v>-8.25</v>
      </c>
      <c r="M25" s="46">
        <v>5.74E-2</v>
      </c>
      <c r="N25" s="46">
        <v>-1.64E-6</v>
      </c>
      <c r="O25" s="22">
        <v>6.7799999999999998E-8</v>
      </c>
      <c r="P25" s="9">
        <v>2.3940000000000001</v>
      </c>
      <c r="Q25" s="9">
        <v>3.0590000000000002</v>
      </c>
      <c r="R25" s="9">
        <v>-245.74</v>
      </c>
      <c r="S25" s="9">
        <v>0.91200000000000003</v>
      </c>
    </row>
    <row r="26" spans="1:20">
      <c r="A26" s="24" t="s">
        <v>112</v>
      </c>
      <c r="B26" s="25">
        <f>SUM(B21:B25)</f>
        <v>0</v>
      </c>
      <c r="C26" s="26">
        <f>SUMPRODUCT($B$21:$B$25,C21:C25)</f>
        <v>0</v>
      </c>
      <c r="D26" s="26">
        <f>SUMPRODUCT($B$21:$B$25,D21:D25)</f>
        <v>0</v>
      </c>
      <c r="E26" s="26">
        <f t="shared" ref="E26:S26" si="1">SUMPRODUCT($B$21:$B$25,E21:E25)</f>
        <v>0</v>
      </c>
      <c r="F26" s="26">
        <f t="shared" si="1"/>
        <v>0</v>
      </c>
      <c r="G26" s="26">
        <f t="shared" si="1"/>
        <v>0</v>
      </c>
      <c r="H26" s="26">
        <f t="shared" si="1"/>
        <v>0</v>
      </c>
      <c r="I26" s="26">
        <f t="shared" si="1"/>
        <v>0</v>
      </c>
      <c r="J26" s="26">
        <f t="shared" si="1"/>
        <v>0</v>
      </c>
      <c r="K26" s="26">
        <f t="shared" si="1"/>
        <v>0</v>
      </c>
      <c r="L26" s="26">
        <f t="shared" si="1"/>
        <v>0</v>
      </c>
      <c r="M26" s="27">
        <f t="shared" si="1"/>
        <v>0</v>
      </c>
      <c r="N26" s="27">
        <f t="shared" si="1"/>
        <v>0</v>
      </c>
      <c r="O26" s="27">
        <f t="shared" si="1"/>
        <v>0</v>
      </c>
      <c r="P26" s="26">
        <f t="shared" si="1"/>
        <v>0</v>
      </c>
      <c r="Q26" s="26">
        <f t="shared" si="1"/>
        <v>0</v>
      </c>
      <c r="R26" s="26">
        <f t="shared" si="1"/>
        <v>0</v>
      </c>
      <c r="S26" s="26">
        <f t="shared" si="1"/>
        <v>0</v>
      </c>
    </row>
    <row r="27" spans="1:20" s="35" customFormat="1">
      <c r="A27" s="33"/>
      <c r="B27" s="39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</row>
    <row r="28" spans="1:20" s="35" customFormat="1" ht="15" customHeight="1">
      <c r="A28" s="51" t="s">
        <v>31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</row>
    <row r="29" spans="1:20">
      <c r="A29" s="5" t="s">
        <v>32</v>
      </c>
      <c r="B29" s="20"/>
      <c r="C29" s="20">
        <v>1</v>
      </c>
      <c r="D29" s="18">
        <v>19</v>
      </c>
      <c r="E29" s="9">
        <v>1.11E-2</v>
      </c>
      <c r="F29" s="9">
        <v>-5.7000000000000002E-3</v>
      </c>
      <c r="G29" s="9">
        <v>27</v>
      </c>
      <c r="H29" s="9">
        <v>-0.03</v>
      </c>
      <c r="I29" s="9">
        <v>-15.78</v>
      </c>
      <c r="J29" s="9">
        <v>-251.92</v>
      </c>
      <c r="K29" s="9">
        <v>-247.19</v>
      </c>
      <c r="L29" s="9">
        <v>26.5</v>
      </c>
      <c r="M29" s="46">
        <v>-9.1300000000000006E-2</v>
      </c>
      <c r="N29" s="46">
        <v>1.9100000000000001E-4</v>
      </c>
      <c r="O29" s="22">
        <v>-1.03E-7</v>
      </c>
      <c r="P29" s="9">
        <v>1.3979999999999999</v>
      </c>
      <c r="Q29" s="9">
        <v>-0.67</v>
      </c>
      <c r="R29" s="16">
        <v>625.45000000000005</v>
      </c>
      <c r="S29" s="16">
        <v>-1.8129999999999999</v>
      </c>
      <c r="T29" s="17" t="s">
        <v>108</v>
      </c>
    </row>
    <row r="30" spans="1:20">
      <c r="A30" s="5" t="s">
        <v>33</v>
      </c>
      <c r="B30" s="20"/>
      <c r="C30" s="20">
        <v>1</v>
      </c>
      <c r="D30" s="18">
        <v>35.5</v>
      </c>
      <c r="E30" s="9">
        <v>1.0500000000000001E-2</v>
      </c>
      <c r="F30" s="9">
        <v>-4.8999999999999998E-3</v>
      </c>
      <c r="G30" s="9">
        <v>58</v>
      </c>
      <c r="H30" s="9">
        <v>38.130000000000003</v>
      </c>
      <c r="I30" s="9">
        <v>13.55</v>
      </c>
      <c r="J30" s="9">
        <v>-71.55</v>
      </c>
      <c r="K30" s="9">
        <v>-64.31</v>
      </c>
      <c r="L30" s="9">
        <v>33.299999999999997</v>
      </c>
      <c r="M30" s="46">
        <v>-9.6299999999999997E-2</v>
      </c>
      <c r="N30" s="46">
        <v>1.8699999999999999E-4</v>
      </c>
      <c r="O30" s="22">
        <v>-9.9600000000000005E-8</v>
      </c>
      <c r="P30" s="9">
        <v>2.5150000000000001</v>
      </c>
      <c r="Q30" s="9">
        <v>4.532</v>
      </c>
      <c r="R30" s="9">
        <v>625.45000000000005</v>
      </c>
      <c r="S30" s="9">
        <v>-1.8140000000000001</v>
      </c>
    </row>
    <row r="31" spans="1:20">
      <c r="A31" s="5" t="s">
        <v>34</v>
      </c>
      <c r="B31" s="20"/>
      <c r="C31" s="20">
        <v>1</v>
      </c>
      <c r="D31" s="18">
        <v>80</v>
      </c>
      <c r="E31" s="9">
        <v>1.3299999999999999E-2</v>
      </c>
      <c r="F31" s="9">
        <v>5.7000000000000002E-3</v>
      </c>
      <c r="G31" s="9">
        <v>71</v>
      </c>
      <c r="H31" s="9">
        <v>66.86</v>
      </c>
      <c r="I31" s="9">
        <v>43.43</v>
      </c>
      <c r="J31" s="9">
        <v>-29.48</v>
      </c>
      <c r="K31" s="9">
        <v>-38.06</v>
      </c>
      <c r="L31" s="9">
        <v>28.6</v>
      </c>
      <c r="M31" s="46">
        <v>1.36E-4</v>
      </c>
      <c r="N31" s="46">
        <v>-7.4499999999999999E-8</v>
      </c>
      <c r="O31" s="22">
        <v>-7.4499999999999999E-8</v>
      </c>
      <c r="P31" s="9">
        <v>3.6030000000000002</v>
      </c>
      <c r="Q31" s="9">
        <v>6.5819999999999999</v>
      </c>
      <c r="R31" s="9">
        <v>738.91</v>
      </c>
      <c r="S31" s="9">
        <v>-2.0379999999999998</v>
      </c>
    </row>
    <row r="32" spans="1:20">
      <c r="A32" s="5" t="s">
        <v>35</v>
      </c>
      <c r="B32" s="20"/>
      <c r="C32" s="20">
        <v>1</v>
      </c>
      <c r="D32" s="18">
        <v>192.2</v>
      </c>
      <c r="E32" s="9">
        <v>6.7999999999999996E-3</v>
      </c>
      <c r="F32" s="9">
        <v>-3.3999999999999998E-3</v>
      </c>
      <c r="G32" s="9">
        <v>97</v>
      </c>
      <c r="H32" s="9">
        <v>93.84</v>
      </c>
      <c r="I32" s="9">
        <v>41.69</v>
      </c>
      <c r="J32" s="9">
        <v>21.06</v>
      </c>
      <c r="K32" s="9">
        <v>5.74</v>
      </c>
      <c r="L32" s="9">
        <v>32.1</v>
      </c>
      <c r="M32" s="46">
        <v>1.26E-4</v>
      </c>
      <c r="N32" s="46">
        <v>-6.87E-8</v>
      </c>
      <c r="O32" s="22">
        <v>-6.87E-8</v>
      </c>
      <c r="P32" s="9">
        <v>2.7240000000000002</v>
      </c>
      <c r="Q32" s="9">
        <v>9.52</v>
      </c>
      <c r="R32" s="9">
        <v>809.55</v>
      </c>
      <c r="S32" s="9">
        <v>-2.2240000000000002</v>
      </c>
    </row>
    <row r="33" spans="1:20">
      <c r="A33" s="24" t="s">
        <v>112</v>
      </c>
      <c r="B33" s="25">
        <f>SUM(B29:B32)</f>
        <v>0</v>
      </c>
      <c r="C33" s="26">
        <f>SUMPRODUCT($B$29:$B$32,C29:C32)</f>
        <v>0</v>
      </c>
      <c r="D33" s="26">
        <f>SUMPRODUCT($B$29:$B$32,D29:D32)</f>
        <v>0</v>
      </c>
      <c r="E33" s="26">
        <f t="shared" ref="E33:S33" si="2">SUMPRODUCT($B$29:$B$32,E29:E32)</f>
        <v>0</v>
      </c>
      <c r="F33" s="26">
        <f t="shared" si="2"/>
        <v>0</v>
      </c>
      <c r="G33" s="26">
        <f t="shared" si="2"/>
        <v>0</v>
      </c>
      <c r="H33" s="26">
        <f t="shared" si="2"/>
        <v>0</v>
      </c>
      <c r="I33" s="26">
        <f t="shared" si="2"/>
        <v>0</v>
      </c>
      <c r="J33" s="26">
        <f t="shared" si="2"/>
        <v>0</v>
      </c>
      <c r="K33" s="26">
        <f t="shared" si="2"/>
        <v>0</v>
      </c>
      <c r="L33" s="26">
        <f t="shared" si="2"/>
        <v>0</v>
      </c>
      <c r="M33" s="27">
        <f t="shared" si="2"/>
        <v>0</v>
      </c>
      <c r="N33" s="27">
        <f t="shared" si="2"/>
        <v>0</v>
      </c>
      <c r="O33" s="27">
        <f t="shared" si="2"/>
        <v>0</v>
      </c>
      <c r="P33" s="26">
        <f t="shared" si="2"/>
        <v>0</v>
      </c>
      <c r="Q33" s="26">
        <f t="shared" si="2"/>
        <v>0</v>
      </c>
      <c r="R33" s="26">
        <f t="shared" si="2"/>
        <v>0</v>
      </c>
      <c r="S33" s="26">
        <f t="shared" si="2"/>
        <v>0</v>
      </c>
    </row>
    <row r="34" spans="1:20" s="35" customFormat="1">
      <c r="A34" s="33"/>
      <c r="B34" s="39"/>
      <c r="C34" s="39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</row>
    <row r="35" spans="1:20" s="35" customFormat="1" ht="15" customHeight="1">
      <c r="A35" s="51" t="s">
        <v>36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</row>
    <row r="36" spans="1:20">
      <c r="A36" t="s">
        <v>37</v>
      </c>
      <c r="B36" s="21"/>
      <c r="C36" s="21">
        <v>2</v>
      </c>
      <c r="D36" s="19">
        <v>17</v>
      </c>
      <c r="E36" s="9">
        <v>7.4099999999999999E-2</v>
      </c>
      <c r="F36" s="9">
        <v>1.12E-2</v>
      </c>
      <c r="G36" s="9">
        <v>28</v>
      </c>
      <c r="H36" s="9">
        <v>92.88</v>
      </c>
      <c r="I36" s="9">
        <v>44.45</v>
      </c>
      <c r="J36" s="9">
        <v>-208.04</v>
      </c>
      <c r="K36" s="9">
        <v>-189.2</v>
      </c>
      <c r="L36" s="9">
        <v>25.7</v>
      </c>
      <c r="M36" s="46">
        <v>1.26E-4</v>
      </c>
      <c r="N36" s="46">
        <v>-6.87E-8</v>
      </c>
      <c r="O36" s="22">
        <v>-9.8799999999999998E-8</v>
      </c>
      <c r="P36" s="9">
        <v>2.4060000000000001</v>
      </c>
      <c r="Q36" s="9">
        <v>16.826000000000001</v>
      </c>
      <c r="R36" s="9">
        <v>2173.7199999999998</v>
      </c>
      <c r="S36" s="9">
        <v>-5.0570000000000004</v>
      </c>
    </row>
    <row r="37" spans="1:20">
      <c r="A37" t="s">
        <v>38</v>
      </c>
      <c r="B37" s="21"/>
      <c r="C37" s="21">
        <v>2</v>
      </c>
      <c r="D37" s="19">
        <v>17</v>
      </c>
      <c r="E37" s="9">
        <v>2.4E-2</v>
      </c>
      <c r="F37" s="9">
        <v>1.84E-2</v>
      </c>
      <c r="G37" s="9">
        <v>-25</v>
      </c>
      <c r="H37" s="9">
        <v>76.34</v>
      </c>
      <c r="I37" s="9">
        <v>82.83</v>
      </c>
      <c r="J37" s="9">
        <v>-221.65</v>
      </c>
      <c r="K37" s="9">
        <v>-197.37</v>
      </c>
      <c r="L37" s="9">
        <v>-2.81</v>
      </c>
      <c r="M37" s="46">
        <v>-1.16E-4</v>
      </c>
      <c r="N37" s="46">
        <v>4.9399999999999999E-8</v>
      </c>
      <c r="O37" s="22">
        <v>4.9399999999999999E-8</v>
      </c>
      <c r="P37" s="9">
        <v>4.49</v>
      </c>
      <c r="Q37" s="9">
        <v>12.499000000000001</v>
      </c>
      <c r="R37" s="9">
        <v>3018.17</v>
      </c>
      <c r="S37" s="9">
        <v>-7.3140000000000001</v>
      </c>
    </row>
    <row r="38" spans="1:20">
      <c r="A38" s="5" t="s">
        <v>39</v>
      </c>
      <c r="B38" s="20"/>
      <c r="C38" s="20">
        <v>1</v>
      </c>
      <c r="D38" s="18">
        <v>16</v>
      </c>
      <c r="E38" s="9">
        <v>1.6799999999999999E-2</v>
      </c>
      <c r="F38" s="9">
        <v>1.5E-3</v>
      </c>
      <c r="G38" s="9">
        <v>18</v>
      </c>
      <c r="H38" s="9">
        <v>22.42</v>
      </c>
      <c r="I38" s="9">
        <v>22.23</v>
      </c>
      <c r="J38" s="9">
        <v>-132.22</v>
      </c>
      <c r="K38" s="9">
        <v>-105</v>
      </c>
      <c r="L38" s="9">
        <v>25.5</v>
      </c>
      <c r="M38" s="46">
        <v>1.11E-4</v>
      </c>
      <c r="N38" s="46">
        <v>-5.4800000000000001E-8</v>
      </c>
      <c r="O38" s="22">
        <v>-5.4800000000000001E-8</v>
      </c>
      <c r="P38" s="9">
        <v>1.1879999999999999</v>
      </c>
      <c r="Q38" s="9">
        <v>2.41</v>
      </c>
      <c r="R38" s="9">
        <v>122.09</v>
      </c>
      <c r="S38" s="9">
        <v>-0.38600000000000001</v>
      </c>
    </row>
    <row r="39" spans="1:20">
      <c r="A39" s="5" t="s">
        <v>40</v>
      </c>
      <c r="B39" s="20"/>
      <c r="C39" s="20">
        <v>1</v>
      </c>
      <c r="D39" s="18">
        <v>16</v>
      </c>
      <c r="E39" s="9">
        <v>9.7999999999999997E-3</v>
      </c>
      <c r="F39" s="9">
        <v>4.7999999999999996E-3</v>
      </c>
      <c r="G39" s="9">
        <v>13</v>
      </c>
      <c r="H39" s="9">
        <v>31.22</v>
      </c>
      <c r="I39" s="9">
        <v>23.05</v>
      </c>
      <c r="J39" s="9">
        <v>-138.16</v>
      </c>
      <c r="K39" s="9">
        <v>-98.22</v>
      </c>
      <c r="L39" s="9">
        <v>12.2</v>
      </c>
      <c r="M39" s="46">
        <v>-1.26E-2</v>
      </c>
      <c r="N39" s="46">
        <v>6.0300000000000002E-5</v>
      </c>
      <c r="O39" s="22">
        <v>-3.8600000000000002E-8</v>
      </c>
      <c r="P39" s="9">
        <v>5.8789999999999996</v>
      </c>
      <c r="Q39" s="9">
        <v>4.6820000000000004</v>
      </c>
      <c r="R39" s="9">
        <v>440.24</v>
      </c>
      <c r="S39" s="9">
        <v>-0.95299999999999996</v>
      </c>
    </row>
    <row r="40" spans="1:20">
      <c r="A40" s="5" t="s">
        <v>41</v>
      </c>
      <c r="B40" s="20">
        <v>1</v>
      </c>
      <c r="C40" s="20">
        <v>2</v>
      </c>
      <c r="D40" s="18">
        <v>28</v>
      </c>
      <c r="E40" s="9">
        <v>3.7999999999999999E-2</v>
      </c>
      <c r="F40" s="9">
        <v>3.0999999999999999E-3</v>
      </c>
      <c r="G40" s="9">
        <v>62</v>
      </c>
      <c r="H40" s="9">
        <v>76.75</v>
      </c>
      <c r="I40" s="9">
        <v>61.2</v>
      </c>
      <c r="J40" s="9">
        <v>-133.22</v>
      </c>
      <c r="K40" s="9">
        <v>-120.5</v>
      </c>
      <c r="L40" s="9">
        <v>6.45</v>
      </c>
      <c r="M40" s="46">
        <v>6.7000000000000004E-2</v>
      </c>
      <c r="N40" s="46">
        <v>-3.57E-5</v>
      </c>
      <c r="O40" s="22">
        <v>2.86E-9</v>
      </c>
      <c r="P40" s="9">
        <v>4.1890000000000001</v>
      </c>
      <c r="Q40" s="9">
        <v>8.9719999999999995</v>
      </c>
      <c r="R40" s="9">
        <v>340.35</v>
      </c>
      <c r="S40" s="9">
        <v>-0.35</v>
      </c>
    </row>
    <row r="41" spans="1:20">
      <c r="A41" s="5" t="s">
        <v>42</v>
      </c>
      <c r="B41" s="20"/>
      <c r="C41" s="20">
        <v>2</v>
      </c>
      <c r="D41" s="18">
        <v>28</v>
      </c>
      <c r="E41" s="9">
        <v>2.8400000000000002E-2</v>
      </c>
      <c r="F41" s="9">
        <v>2.8E-3</v>
      </c>
      <c r="G41" s="9">
        <v>55</v>
      </c>
      <c r="H41" s="9">
        <v>94.97</v>
      </c>
      <c r="I41" s="9">
        <v>75.97</v>
      </c>
      <c r="J41" s="9">
        <v>-164.5</v>
      </c>
      <c r="K41" s="9">
        <v>-126.27</v>
      </c>
      <c r="L41" s="9">
        <v>30.4</v>
      </c>
      <c r="M41" s="46">
        <v>-8.2900000000000001E-2</v>
      </c>
      <c r="N41" s="46">
        <v>2.3599999999999999E-4</v>
      </c>
      <c r="O41" s="22">
        <v>-1.31E-7</v>
      </c>
      <c r="P41" s="16">
        <v>4.1890000000000001</v>
      </c>
      <c r="Q41" s="9">
        <v>6.6449999999999996</v>
      </c>
      <c r="R41" s="16">
        <v>340.35</v>
      </c>
      <c r="S41" s="16">
        <v>-0.35099999999999998</v>
      </c>
      <c r="T41" s="17" t="s">
        <v>108</v>
      </c>
    </row>
    <row r="42" spans="1:20" ht="15" customHeight="1">
      <c r="A42" s="5" t="s">
        <v>43</v>
      </c>
      <c r="B42" s="20"/>
      <c r="C42" s="20">
        <v>3</v>
      </c>
      <c r="D42" s="18">
        <v>29</v>
      </c>
      <c r="E42" s="9">
        <v>3.7900000000000003E-2</v>
      </c>
      <c r="F42" s="9">
        <v>3.0000000000000001E-3</v>
      </c>
      <c r="G42" s="9">
        <v>82</v>
      </c>
      <c r="H42" s="9">
        <v>72.239999999999995</v>
      </c>
      <c r="I42" s="9">
        <v>36.9</v>
      </c>
      <c r="J42" s="9">
        <v>-162.03</v>
      </c>
      <c r="K42" s="9">
        <v>-143.47999999999999</v>
      </c>
      <c r="L42" s="9">
        <v>30.9</v>
      </c>
      <c r="M42" s="46">
        <v>-3.3599999999999998E-2</v>
      </c>
      <c r="N42" s="46">
        <v>1.6000000000000001E-4</v>
      </c>
      <c r="O42" s="22">
        <v>-9.8799999999999998E-8</v>
      </c>
      <c r="P42" s="9">
        <v>3.1970000000000001</v>
      </c>
      <c r="Q42" s="9">
        <v>9.093</v>
      </c>
      <c r="R42" s="9">
        <v>740.92</v>
      </c>
      <c r="S42" s="9">
        <v>-1.7130000000000001</v>
      </c>
    </row>
    <row r="43" spans="1:20">
      <c r="A43" s="5" t="s">
        <v>44</v>
      </c>
      <c r="B43" s="20"/>
      <c r="C43" s="20">
        <v>4</v>
      </c>
      <c r="D43" s="18">
        <v>57</v>
      </c>
      <c r="E43" s="9">
        <v>7.9100000000000004E-2</v>
      </c>
      <c r="F43" s="9">
        <v>7.7000000000000002E-3</v>
      </c>
      <c r="G43" s="9">
        <v>89</v>
      </c>
      <c r="H43" s="9">
        <v>169.09</v>
      </c>
      <c r="I43" s="9">
        <v>155.5</v>
      </c>
      <c r="J43" s="9">
        <v>-426.72</v>
      </c>
      <c r="K43" s="9">
        <v>-387.87</v>
      </c>
      <c r="L43" s="9">
        <v>24.1</v>
      </c>
      <c r="M43" s="46">
        <v>4.2700000000000002E-2</v>
      </c>
      <c r="N43" s="46">
        <v>8.0400000000000003E-5</v>
      </c>
      <c r="O43" s="22">
        <v>-6.87E-8</v>
      </c>
      <c r="P43" s="9">
        <v>11.051</v>
      </c>
      <c r="Q43" s="9">
        <v>19.536999999999999</v>
      </c>
      <c r="R43" s="9">
        <v>1317.23</v>
      </c>
      <c r="S43" s="9">
        <v>-2.5779999999999998</v>
      </c>
    </row>
    <row r="44" spans="1:20">
      <c r="A44" s="5" t="s">
        <v>45</v>
      </c>
      <c r="B44" s="20"/>
      <c r="C44" s="20">
        <v>3</v>
      </c>
      <c r="D44" s="18">
        <v>44</v>
      </c>
      <c r="E44" s="9">
        <v>4.8099999999999997E-2</v>
      </c>
      <c r="F44" s="9">
        <v>5.0000000000000001E-4</v>
      </c>
      <c r="G44" s="9">
        <v>82</v>
      </c>
      <c r="H44" s="9">
        <v>81.099999999999994</v>
      </c>
      <c r="I44" s="9">
        <v>53.6</v>
      </c>
      <c r="J44" s="9">
        <v>-337.92</v>
      </c>
      <c r="K44" s="9">
        <v>-301.95</v>
      </c>
      <c r="L44" s="9">
        <v>24.5</v>
      </c>
      <c r="M44" s="46">
        <v>4.02E-2</v>
      </c>
      <c r="N44" s="46">
        <v>4.0200000000000001E-5</v>
      </c>
      <c r="O44" s="22">
        <v>-4.5200000000000001E-8</v>
      </c>
      <c r="P44" s="9">
        <v>6.9589999999999996</v>
      </c>
      <c r="Q44" s="9">
        <v>9.6329999999999991</v>
      </c>
      <c r="R44" s="9">
        <v>483.88</v>
      </c>
      <c r="S44" s="9">
        <v>-0.96599999999999997</v>
      </c>
    </row>
    <row r="45" spans="1:20" ht="12.75" customHeight="1">
      <c r="A45" s="5" t="s">
        <v>93</v>
      </c>
      <c r="B45" s="20"/>
      <c r="C45" s="20">
        <v>1</v>
      </c>
      <c r="D45" s="18">
        <v>16</v>
      </c>
      <c r="E45" s="9" t="s">
        <v>46</v>
      </c>
      <c r="F45" s="9">
        <v>1.01E-2</v>
      </c>
      <c r="G45" s="9">
        <v>36</v>
      </c>
      <c r="H45" s="9">
        <v>-10.5</v>
      </c>
      <c r="I45" s="9">
        <v>2.08</v>
      </c>
      <c r="J45" s="9">
        <v>-247.61</v>
      </c>
      <c r="K45" s="9">
        <v>-250.83</v>
      </c>
      <c r="L45" s="9">
        <v>6.82</v>
      </c>
      <c r="M45" s="46">
        <v>1.9599999999999999E-2</v>
      </c>
      <c r="N45" s="46">
        <v>1.27E-5</v>
      </c>
      <c r="O45" s="22">
        <v>-1.7800000000000001E-8</v>
      </c>
      <c r="P45" s="9">
        <v>3.6240000000000001</v>
      </c>
      <c r="Q45" s="9">
        <v>5.9089999999999998</v>
      </c>
      <c r="R45" s="9">
        <v>675.24</v>
      </c>
      <c r="S45" s="9">
        <v>-1.34</v>
      </c>
    </row>
    <row r="46" spans="1:20" ht="12.75" customHeight="1">
      <c r="A46" s="24" t="s">
        <v>112</v>
      </c>
      <c r="B46" s="25">
        <f>SUM(B36:B45)</f>
        <v>1</v>
      </c>
      <c r="C46" s="28">
        <f>SUMPRODUCT($B$36:$B$45,C36:C45)</f>
        <v>2</v>
      </c>
      <c r="D46" s="26">
        <f>SUMPRODUCT($B$36:$B$45,D36:D45)</f>
        <v>28</v>
      </c>
      <c r="E46" s="26">
        <f t="shared" ref="E46:S46" si="3">SUMPRODUCT($B$36:$B$45,E36:E45)</f>
        <v>3.7999999999999999E-2</v>
      </c>
      <c r="F46" s="26">
        <f t="shared" si="3"/>
        <v>3.0999999999999999E-3</v>
      </c>
      <c r="G46" s="26">
        <f t="shared" si="3"/>
        <v>62</v>
      </c>
      <c r="H46" s="26">
        <f t="shared" si="3"/>
        <v>76.75</v>
      </c>
      <c r="I46" s="26">
        <f t="shared" si="3"/>
        <v>61.2</v>
      </c>
      <c r="J46" s="26">
        <f t="shared" si="3"/>
        <v>-133.22</v>
      </c>
      <c r="K46" s="26">
        <f t="shared" si="3"/>
        <v>-120.5</v>
      </c>
      <c r="L46" s="26">
        <f t="shared" si="3"/>
        <v>6.45</v>
      </c>
      <c r="M46" s="27">
        <f t="shared" si="3"/>
        <v>6.7000000000000004E-2</v>
      </c>
      <c r="N46" s="27">
        <f t="shared" si="3"/>
        <v>-3.57E-5</v>
      </c>
      <c r="O46" s="27">
        <f t="shared" si="3"/>
        <v>2.86E-9</v>
      </c>
      <c r="P46" s="26">
        <f t="shared" si="3"/>
        <v>4.1890000000000001</v>
      </c>
      <c r="Q46" s="26">
        <f t="shared" si="3"/>
        <v>8.9719999999999995</v>
      </c>
      <c r="R46" s="26">
        <f t="shared" si="3"/>
        <v>340.35</v>
      </c>
      <c r="S46" s="28">
        <f t="shared" si="3"/>
        <v>-0.35</v>
      </c>
    </row>
    <row r="47" spans="1:20" s="35" customFormat="1" ht="12.75" customHeight="1">
      <c r="A47" s="33"/>
      <c r="B47" s="39"/>
      <c r="C47" s="39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</row>
    <row r="48" spans="1:20" s="35" customFormat="1" ht="15" customHeight="1">
      <c r="A48" s="51" t="s">
        <v>47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</row>
    <row r="49" spans="1:20" ht="18">
      <c r="A49" s="5" t="s">
        <v>48</v>
      </c>
      <c r="B49" s="20"/>
      <c r="C49" s="20">
        <v>3</v>
      </c>
      <c r="D49" s="18">
        <v>16</v>
      </c>
      <c r="E49" s="9">
        <v>2.4299999999999999E-2</v>
      </c>
      <c r="F49" s="9">
        <v>1.09E-2</v>
      </c>
      <c r="G49" s="9">
        <v>38</v>
      </c>
      <c r="H49" s="9">
        <v>73.23</v>
      </c>
      <c r="I49" s="9">
        <v>66.89</v>
      </c>
      <c r="J49" s="9">
        <v>-22.02</v>
      </c>
      <c r="K49" s="9">
        <v>14.07</v>
      </c>
      <c r="L49" s="9">
        <v>26.9</v>
      </c>
      <c r="M49" s="46">
        <v>-4.1200000000000001E-2</v>
      </c>
      <c r="N49" s="46">
        <v>1.64E-4</v>
      </c>
      <c r="O49" s="22">
        <v>-9.76E-8</v>
      </c>
      <c r="P49" s="9">
        <v>3.5150000000000001</v>
      </c>
      <c r="Q49" s="9">
        <v>10.788</v>
      </c>
      <c r="R49" s="16">
        <v>307.52999999999997</v>
      </c>
      <c r="S49" s="16">
        <v>-0.79800000000000004</v>
      </c>
      <c r="T49" s="17" t="s">
        <v>108</v>
      </c>
    </row>
    <row r="50" spans="1:20">
      <c r="A50" s="5" t="s">
        <v>49</v>
      </c>
      <c r="B50" s="20"/>
      <c r="C50" s="20">
        <v>2</v>
      </c>
      <c r="D50" s="18">
        <v>15</v>
      </c>
      <c r="E50" s="9">
        <v>2.9499999999999998E-2</v>
      </c>
      <c r="F50" s="9">
        <v>7.7000000000000002E-3</v>
      </c>
      <c r="G50" s="9">
        <v>35</v>
      </c>
      <c r="H50" s="9">
        <v>50.17</v>
      </c>
      <c r="I50" s="9">
        <v>52.66</v>
      </c>
      <c r="J50" s="9">
        <v>53.47</v>
      </c>
      <c r="K50" s="9">
        <v>89.39</v>
      </c>
      <c r="L50" s="9">
        <v>-1.21</v>
      </c>
      <c r="M50" s="46">
        <v>7.6200000000000004E-2</v>
      </c>
      <c r="N50" s="46">
        <v>-4.8600000000000002E-5</v>
      </c>
      <c r="O50" s="22">
        <v>1.05E-8</v>
      </c>
      <c r="P50" s="9">
        <v>5.0990000000000002</v>
      </c>
      <c r="Q50" s="9">
        <v>6.4359999999999999</v>
      </c>
      <c r="R50" s="16">
        <v>308.52999999999997</v>
      </c>
      <c r="S50" s="16">
        <v>-0.79900000000000004</v>
      </c>
    </row>
    <row r="51" spans="1:20">
      <c r="A51" s="5" t="s">
        <v>50</v>
      </c>
      <c r="B51" s="20"/>
      <c r="C51" s="20">
        <v>2</v>
      </c>
      <c r="D51" s="18">
        <v>15</v>
      </c>
      <c r="E51" s="9">
        <v>1.2999999999999999E-2</v>
      </c>
      <c r="F51" s="9">
        <v>1.14E-2</v>
      </c>
      <c r="G51" s="9">
        <v>29</v>
      </c>
      <c r="H51" s="9">
        <v>52.82</v>
      </c>
      <c r="I51" s="9">
        <v>101.51</v>
      </c>
      <c r="J51" s="9">
        <v>31.65</v>
      </c>
      <c r="K51" s="9">
        <v>75.61</v>
      </c>
      <c r="L51" s="9">
        <v>11.8</v>
      </c>
      <c r="M51" s="46">
        <v>-2.3E-2</v>
      </c>
      <c r="N51" s="46">
        <v>1.07E-4</v>
      </c>
      <c r="O51" s="22">
        <v>-6.2800000000000006E-8</v>
      </c>
      <c r="P51" s="9">
        <v>7.49</v>
      </c>
      <c r="Q51" s="9">
        <v>6.93</v>
      </c>
      <c r="R51" s="16">
        <v>309.52999999999997</v>
      </c>
      <c r="S51" s="16">
        <v>-0.8</v>
      </c>
    </row>
    <row r="52" spans="1:20">
      <c r="A52" s="5" t="s">
        <v>51</v>
      </c>
      <c r="B52" s="20"/>
      <c r="C52" s="20">
        <v>1</v>
      </c>
      <c r="D52" s="18">
        <v>14</v>
      </c>
      <c r="E52" s="9">
        <v>1.6899999999999998E-2</v>
      </c>
      <c r="F52" s="9">
        <v>7.4000000000000003E-3</v>
      </c>
      <c r="G52" s="9">
        <v>9</v>
      </c>
      <c r="H52" s="9">
        <v>11.74</v>
      </c>
      <c r="I52" s="9">
        <v>48.84</v>
      </c>
      <c r="J52" s="9">
        <v>123.34</v>
      </c>
      <c r="K52" s="9">
        <v>163.16</v>
      </c>
      <c r="L52" s="9">
        <v>-31.1</v>
      </c>
      <c r="M52" s="46">
        <v>0.22700000000000001</v>
      </c>
      <c r="N52" s="46">
        <v>-3.2000000000000003E-4</v>
      </c>
      <c r="O52" s="22">
        <v>1.4600000000000001E-7</v>
      </c>
      <c r="P52" s="9">
        <v>4.7030000000000003</v>
      </c>
      <c r="Q52" s="9">
        <v>1.8959999999999999</v>
      </c>
      <c r="R52" s="16">
        <v>310.52999999999997</v>
      </c>
      <c r="S52" s="16">
        <v>-0.80100000000000005</v>
      </c>
    </row>
    <row r="53" spans="1:20">
      <c r="A53" s="5" t="s">
        <v>52</v>
      </c>
      <c r="B53" s="20"/>
      <c r="C53" s="20">
        <v>1</v>
      </c>
      <c r="D53" s="18">
        <v>14</v>
      </c>
      <c r="E53" s="9">
        <v>2.5499999999999998E-2</v>
      </c>
      <c r="F53" s="9">
        <v>-9.9000000000000008E-3</v>
      </c>
      <c r="G53" s="16">
        <v>9</v>
      </c>
      <c r="H53" s="9">
        <v>74.599999999999994</v>
      </c>
      <c r="I53" s="16">
        <v>48.84</v>
      </c>
      <c r="J53" s="9">
        <v>23.61</v>
      </c>
      <c r="K53" s="16">
        <v>163.16</v>
      </c>
      <c r="L53" s="16">
        <v>-31.1</v>
      </c>
      <c r="M53" s="45">
        <v>2.2700000000000001E-2</v>
      </c>
      <c r="N53" s="45">
        <v>-3.1999999999999999E-5</v>
      </c>
      <c r="O53" s="23">
        <v>1.4600000000000001E-7</v>
      </c>
      <c r="P53" s="16">
        <v>4.7030000000000003</v>
      </c>
      <c r="Q53" s="9">
        <v>3.335</v>
      </c>
      <c r="R53" s="16">
        <v>311.52999999999997</v>
      </c>
      <c r="S53" s="16">
        <v>-0.80200000000000005</v>
      </c>
    </row>
    <row r="54" spans="1:20">
      <c r="A54" s="5" t="s">
        <v>53</v>
      </c>
      <c r="B54" s="20"/>
      <c r="C54" s="20">
        <v>1</v>
      </c>
      <c r="D54" s="18">
        <v>14</v>
      </c>
      <c r="E54" s="9">
        <v>8.5000000000000006E-3</v>
      </c>
      <c r="F54" s="9">
        <v>7.6E-3</v>
      </c>
      <c r="G54" s="9">
        <v>34</v>
      </c>
      <c r="H54" s="9">
        <v>57.55</v>
      </c>
      <c r="I54" s="9">
        <v>68.400000000000006</v>
      </c>
      <c r="J54" s="9">
        <v>93.7</v>
      </c>
      <c r="K54" s="9">
        <v>119.66</v>
      </c>
      <c r="L54" s="9">
        <v>5.69</v>
      </c>
      <c r="M54" s="46">
        <v>-4.1200000000000004E-3</v>
      </c>
      <c r="N54" s="46">
        <v>1.2799999999999999E-4</v>
      </c>
      <c r="O54" s="22">
        <v>-8.8800000000000001E-8</v>
      </c>
      <c r="P54" s="9">
        <v>3.649</v>
      </c>
      <c r="Q54" s="9">
        <v>6.5279999999999996</v>
      </c>
      <c r="R54" s="16">
        <v>312.52999999999997</v>
      </c>
      <c r="S54" s="16">
        <v>-0.80300000000000005</v>
      </c>
    </row>
    <row r="55" spans="1:20">
      <c r="A55" s="5" t="s">
        <v>94</v>
      </c>
      <c r="B55" s="20"/>
      <c r="C55" s="20">
        <v>2</v>
      </c>
      <c r="D55" s="18">
        <v>15</v>
      </c>
      <c r="E55" s="16">
        <v>8.5000000000000006E-3</v>
      </c>
      <c r="F55" s="16">
        <v>7.6E-3</v>
      </c>
      <c r="G55" s="16">
        <v>34</v>
      </c>
      <c r="H55" s="9">
        <v>83.08</v>
      </c>
      <c r="I55" s="9">
        <v>68.91</v>
      </c>
      <c r="J55" s="9">
        <v>93.7</v>
      </c>
      <c r="K55" s="9">
        <v>119.66</v>
      </c>
      <c r="L55" s="9">
        <v>5.69</v>
      </c>
      <c r="M55" s="46">
        <v>-4.1200000000000004E-3</v>
      </c>
      <c r="N55" s="46">
        <v>1.2799999999999999E-4</v>
      </c>
      <c r="O55" s="22" t="s">
        <v>113</v>
      </c>
      <c r="P55" s="16">
        <v>3.649</v>
      </c>
      <c r="Q55" s="9">
        <v>12.169</v>
      </c>
      <c r="R55" s="16">
        <v>313.52999999999997</v>
      </c>
      <c r="S55" s="16">
        <v>-0.80400000000000005</v>
      </c>
    </row>
    <row r="56" spans="1:20">
      <c r="A56" s="5" t="s">
        <v>54</v>
      </c>
      <c r="B56" s="20"/>
      <c r="C56" s="20">
        <v>2</v>
      </c>
      <c r="D56" s="18">
        <v>26</v>
      </c>
      <c r="E56" s="9">
        <v>4.9599999999999998E-2</v>
      </c>
      <c r="F56" s="9">
        <v>-1.01E-2</v>
      </c>
      <c r="G56" s="9">
        <v>91</v>
      </c>
      <c r="H56" s="9">
        <v>125.66</v>
      </c>
      <c r="I56" s="9">
        <v>59.89</v>
      </c>
      <c r="J56" s="9">
        <v>88.43</v>
      </c>
      <c r="K56" s="9">
        <v>89.22</v>
      </c>
      <c r="L56" s="9">
        <v>36.5</v>
      </c>
      <c r="M56" s="46">
        <v>-7.3300000000000004E-2</v>
      </c>
      <c r="N56" s="46">
        <v>1.84E-4</v>
      </c>
      <c r="O56" s="22">
        <v>-1.03E-7</v>
      </c>
      <c r="P56" s="9">
        <v>2.4140000000000001</v>
      </c>
      <c r="Q56" s="9">
        <v>12.851000000000001</v>
      </c>
      <c r="R56" s="16">
        <v>314.52999999999997</v>
      </c>
      <c r="S56" s="16">
        <v>-0.80500000000000005</v>
      </c>
    </row>
    <row r="57" spans="1:20" ht="18">
      <c r="A57" s="5" t="s">
        <v>55</v>
      </c>
      <c r="B57" s="20"/>
      <c r="C57" s="20">
        <v>3</v>
      </c>
      <c r="D57" s="18">
        <v>46</v>
      </c>
      <c r="E57" s="9">
        <v>4.3700000000000003E-2</v>
      </c>
      <c r="F57" s="9">
        <v>6.4000000000000003E-3</v>
      </c>
      <c r="G57" s="9">
        <v>91</v>
      </c>
      <c r="H57" s="9">
        <v>152.54</v>
      </c>
      <c r="I57" s="9">
        <v>127.24</v>
      </c>
      <c r="J57" s="9">
        <v>-66.569999999999993</v>
      </c>
      <c r="K57" s="9">
        <v>-16.829999999999998</v>
      </c>
      <c r="L57" s="9">
        <v>25.9</v>
      </c>
      <c r="M57" s="46">
        <v>-3.7399999999999998E-3</v>
      </c>
      <c r="N57" s="46">
        <v>1.2899999999999999E-4</v>
      </c>
      <c r="O57" s="22">
        <v>-8.8800000000000001E-8</v>
      </c>
      <c r="P57" s="9">
        <v>9.6790000000000003</v>
      </c>
      <c r="Q57" s="9">
        <v>16.738</v>
      </c>
      <c r="R57" s="16">
        <v>315.52999999999997</v>
      </c>
      <c r="S57" s="16">
        <v>-0.80600000000000005</v>
      </c>
    </row>
    <row r="58" spans="1:20">
      <c r="A58" s="24" t="s">
        <v>112</v>
      </c>
      <c r="B58" s="25">
        <f>SUM(B49:B57)</f>
        <v>0</v>
      </c>
      <c r="C58" s="28">
        <f>SUMPRODUCT($B$49:$B$57,C49:C57)</f>
        <v>0</v>
      </c>
      <c r="D58" s="26">
        <f>SUMPRODUCT($B$49:$B$57,D49:D57)</f>
        <v>0</v>
      </c>
      <c r="E58" s="26">
        <f t="shared" ref="E58:S58" si="4">SUMPRODUCT($B$49:$B$57,E49:E57)</f>
        <v>0</v>
      </c>
      <c r="F58" s="26">
        <f t="shared" si="4"/>
        <v>0</v>
      </c>
      <c r="G58" s="26">
        <f t="shared" si="4"/>
        <v>0</v>
      </c>
      <c r="H58" s="26">
        <f t="shared" si="4"/>
        <v>0</v>
      </c>
      <c r="I58" s="26">
        <f t="shared" si="4"/>
        <v>0</v>
      </c>
      <c r="J58" s="26">
        <f t="shared" si="4"/>
        <v>0</v>
      </c>
      <c r="K58" s="26">
        <f t="shared" si="4"/>
        <v>0</v>
      </c>
      <c r="L58" s="26">
        <f t="shared" si="4"/>
        <v>0</v>
      </c>
      <c r="M58" s="27">
        <f t="shared" si="4"/>
        <v>0</v>
      </c>
      <c r="N58" s="27">
        <f t="shared" si="4"/>
        <v>0</v>
      </c>
      <c r="O58" s="27">
        <f t="shared" si="4"/>
        <v>0</v>
      </c>
      <c r="P58" s="26">
        <f t="shared" si="4"/>
        <v>0</v>
      </c>
      <c r="Q58" s="26">
        <f t="shared" si="4"/>
        <v>0</v>
      </c>
      <c r="R58" s="26">
        <f t="shared" si="4"/>
        <v>0</v>
      </c>
      <c r="S58" s="28">
        <f t="shared" si="4"/>
        <v>0</v>
      </c>
    </row>
    <row r="59" spans="1:20" s="35" customFormat="1">
      <c r="A59" s="33"/>
      <c r="B59" s="39"/>
      <c r="C59" s="39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</row>
    <row r="60" spans="1:20" s="35" customFormat="1" ht="15" customHeight="1">
      <c r="A60" s="51" t="s">
        <v>56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</row>
    <row r="61" spans="1:20">
      <c r="A61" s="5" t="s">
        <v>57</v>
      </c>
      <c r="B61" s="20"/>
      <c r="C61" s="20">
        <v>2</v>
      </c>
      <c r="D61" s="18">
        <v>33</v>
      </c>
      <c r="E61" s="9">
        <v>3.0999999999999999E-3</v>
      </c>
      <c r="F61" s="9">
        <v>8.3999999999999995E-3</v>
      </c>
      <c r="G61" s="9">
        <v>63</v>
      </c>
      <c r="H61" s="9">
        <v>63.56</v>
      </c>
      <c r="I61" s="9">
        <v>20.09</v>
      </c>
      <c r="J61" s="9">
        <v>-17.329999999999998</v>
      </c>
      <c r="K61" s="9">
        <v>-22.99</v>
      </c>
      <c r="L61" s="9">
        <v>35.299999999999997</v>
      </c>
      <c r="M61" s="46">
        <v>-7.5800000000000006E-2</v>
      </c>
      <c r="N61" s="46">
        <v>1.85E-4</v>
      </c>
      <c r="O61" s="22">
        <v>-1.03E-7</v>
      </c>
      <c r="P61" s="9">
        <v>2.36</v>
      </c>
      <c r="Q61" s="9">
        <v>6.8840000000000003</v>
      </c>
      <c r="R61" s="16">
        <v>307.52999999999997</v>
      </c>
      <c r="S61" s="16">
        <v>-0.79800000000000004</v>
      </c>
      <c r="T61" s="17" t="s">
        <v>108</v>
      </c>
    </row>
    <row r="62" spans="1:20">
      <c r="A62" s="5" t="s">
        <v>58</v>
      </c>
      <c r="B62" s="20"/>
      <c r="C62" s="20">
        <v>1</v>
      </c>
      <c r="D62" s="18">
        <v>32</v>
      </c>
      <c r="E62" s="9">
        <v>1.1900000000000001E-2</v>
      </c>
      <c r="F62" s="9">
        <v>4.8999999999999998E-3</v>
      </c>
      <c r="G62" s="9">
        <v>54</v>
      </c>
      <c r="H62" s="9">
        <v>68.78</v>
      </c>
      <c r="I62" s="9">
        <v>34.4</v>
      </c>
      <c r="J62" s="9">
        <v>41.87</v>
      </c>
      <c r="K62" s="9">
        <v>33.119999999999997</v>
      </c>
      <c r="L62" s="9">
        <v>19.600000000000001</v>
      </c>
      <c r="M62" s="46">
        <v>-5.6100000000000004E-3</v>
      </c>
      <c r="N62" s="46">
        <v>4.0200000000000001E-5</v>
      </c>
      <c r="O62" s="22">
        <v>-2.7599999999999999E-8</v>
      </c>
      <c r="P62" s="9">
        <v>4.13</v>
      </c>
      <c r="Q62" s="9">
        <v>6.8170000000000002</v>
      </c>
      <c r="R62" s="16">
        <v>308.52999999999997</v>
      </c>
      <c r="S62" s="16">
        <v>-0.79900000000000004</v>
      </c>
    </row>
    <row r="63" spans="1:20">
      <c r="A63" s="5" t="s">
        <v>59</v>
      </c>
      <c r="B63" s="20"/>
      <c r="C63" s="20">
        <v>1</v>
      </c>
      <c r="D63" s="18">
        <v>32</v>
      </c>
      <c r="E63" s="9">
        <v>1.9E-3</v>
      </c>
      <c r="F63" s="9">
        <v>5.1000000000000004E-3</v>
      </c>
      <c r="G63" s="9">
        <v>38</v>
      </c>
      <c r="H63" s="9">
        <v>52.1</v>
      </c>
      <c r="I63" s="9">
        <v>79.930000000000007</v>
      </c>
      <c r="J63" s="9">
        <v>39.1</v>
      </c>
      <c r="K63" s="9">
        <v>27.76</v>
      </c>
      <c r="L63" s="9">
        <v>16.7</v>
      </c>
      <c r="M63" s="46">
        <v>4.81E-3</v>
      </c>
      <c r="N63" s="46">
        <v>2.7699999999999999E-5</v>
      </c>
      <c r="O63" s="22">
        <v>-2.11E-8</v>
      </c>
      <c r="P63" s="9">
        <v>1.5569999999999999</v>
      </c>
      <c r="Q63" s="9">
        <v>5.984</v>
      </c>
      <c r="R63" s="16">
        <v>309.52999999999997</v>
      </c>
      <c r="S63" s="16">
        <v>-0.8</v>
      </c>
    </row>
    <row r="64" spans="1:20">
      <c r="A64" s="24" t="s">
        <v>112</v>
      </c>
      <c r="B64" s="25">
        <f>SUM(B61:B63)</f>
        <v>0</v>
      </c>
      <c r="C64" s="28">
        <f>SUMPRODUCT($B$61:$B$63,C61:C63)</f>
        <v>0</v>
      </c>
      <c r="D64" s="26">
        <f>SUMPRODUCT($B$61:$B$63,D61:D63)</f>
        <v>0</v>
      </c>
      <c r="E64" s="26">
        <f t="shared" ref="E64:S64" si="5">SUMPRODUCT($B$61:$B$63,E61:E63)</f>
        <v>0</v>
      </c>
      <c r="F64" s="26">
        <f t="shared" si="5"/>
        <v>0</v>
      </c>
      <c r="G64" s="26">
        <f t="shared" si="5"/>
        <v>0</v>
      </c>
      <c r="H64" s="26">
        <f t="shared" si="5"/>
        <v>0</v>
      </c>
      <c r="I64" s="26">
        <f t="shared" si="5"/>
        <v>0</v>
      </c>
      <c r="J64" s="26">
        <f t="shared" si="5"/>
        <v>0</v>
      </c>
      <c r="K64" s="26">
        <f t="shared" si="5"/>
        <v>0</v>
      </c>
      <c r="L64" s="26">
        <f t="shared" si="5"/>
        <v>0</v>
      </c>
      <c r="M64" s="27">
        <f t="shared" si="5"/>
        <v>0</v>
      </c>
      <c r="N64" s="27">
        <f t="shared" si="5"/>
        <v>0</v>
      </c>
      <c r="O64" s="27">
        <f t="shared" si="5"/>
        <v>0</v>
      </c>
      <c r="P64" s="26">
        <f t="shared" si="5"/>
        <v>0</v>
      </c>
      <c r="Q64" s="26">
        <f t="shared" si="5"/>
        <v>0</v>
      </c>
      <c r="R64" s="26">
        <f t="shared" si="5"/>
        <v>0</v>
      </c>
      <c r="S64" s="28">
        <f t="shared" si="5"/>
        <v>0</v>
      </c>
    </row>
    <row r="65" spans="1:19" s="35" customFormat="1">
      <c r="A65" s="31" t="s">
        <v>114</v>
      </c>
      <c r="B65" s="54">
        <f>B18+B26+B33+B46+B64</f>
        <v>3</v>
      </c>
      <c r="C65" s="32">
        <f t="shared" ref="C65:S65" si="6">C18+C26+C33+C87+C46+C58+C64</f>
        <v>10</v>
      </c>
      <c r="D65" s="47">
        <f t="shared" si="6"/>
        <v>58</v>
      </c>
      <c r="E65" s="47">
        <f t="shared" si="6"/>
        <v>6.6199999999999995E-2</v>
      </c>
      <c r="F65" s="47">
        <f t="shared" si="6"/>
        <v>7.000000000000001E-4</v>
      </c>
      <c r="G65" s="47">
        <f t="shared" si="6"/>
        <v>192</v>
      </c>
      <c r="H65" s="47">
        <f t="shared" si="6"/>
        <v>123.91</v>
      </c>
      <c r="I65" s="47">
        <f t="shared" si="6"/>
        <v>51</v>
      </c>
      <c r="J65" s="47">
        <f t="shared" si="6"/>
        <v>-286.12</v>
      </c>
      <c r="K65" s="47">
        <f t="shared" si="6"/>
        <v>-208.42000000000002</v>
      </c>
      <c r="L65" s="47">
        <f t="shared" si="6"/>
        <v>45.45</v>
      </c>
      <c r="M65" s="48">
        <f t="shared" si="6"/>
        <v>5.0840000000000003E-2</v>
      </c>
      <c r="N65" s="48">
        <f t="shared" si="6"/>
        <v>2.7030000000000001E-4</v>
      </c>
      <c r="O65" s="48">
        <f t="shared" si="6"/>
        <v>-1.9054000000000001E-7</v>
      </c>
      <c r="P65" s="47">
        <f t="shared" si="6"/>
        <v>6.0049999999999999</v>
      </c>
      <c r="Q65" s="47">
        <f t="shared" si="6"/>
        <v>13.718</v>
      </c>
      <c r="R65" s="47">
        <f t="shared" si="6"/>
        <v>1436.9299999999998</v>
      </c>
      <c r="S65" s="32">
        <f t="shared" si="6"/>
        <v>-3.7880000000000003</v>
      </c>
    </row>
    <row r="66" spans="1:19" s="35" customFormat="1" ht="18">
      <c r="A66" s="33"/>
      <c r="B66" s="43" t="s">
        <v>111</v>
      </c>
      <c r="C66" s="43" t="s">
        <v>115</v>
      </c>
      <c r="D66" s="43" t="s">
        <v>100</v>
      </c>
      <c r="E66" s="44" t="s">
        <v>2</v>
      </c>
      <c r="F66" s="44" t="s">
        <v>3</v>
      </c>
      <c r="G66" s="44" t="s">
        <v>4</v>
      </c>
      <c r="H66" s="44" t="s">
        <v>5</v>
      </c>
      <c r="I66" s="44" t="s">
        <v>6</v>
      </c>
      <c r="J66" s="44" t="s">
        <v>7</v>
      </c>
      <c r="K66" s="44" t="s">
        <v>8</v>
      </c>
      <c r="L66" s="44" t="s">
        <v>9</v>
      </c>
      <c r="M66" s="44" t="s">
        <v>10</v>
      </c>
      <c r="N66" s="44" t="s">
        <v>117</v>
      </c>
      <c r="O66" s="44" t="s">
        <v>11</v>
      </c>
      <c r="P66" s="44" t="s">
        <v>12</v>
      </c>
      <c r="Q66" s="44" t="s">
        <v>13</v>
      </c>
      <c r="R66" s="44" t="s">
        <v>9</v>
      </c>
      <c r="S66" s="44" t="s">
        <v>10</v>
      </c>
    </row>
    <row r="67" spans="1:19" s="35" customFormat="1">
      <c r="A67" s="33"/>
      <c r="B67" s="43"/>
      <c r="C67" s="43"/>
      <c r="D67" s="43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</row>
    <row r="68" spans="1:19" s="35" customFormat="1" ht="16.5" customHeight="1">
      <c r="A68" s="53" t="s">
        <v>119</v>
      </c>
      <c r="B68" s="33" t="s">
        <v>137</v>
      </c>
      <c r="C68" s="34">
        <v>26.85</v>
      </c>
      <c r="D68" s="34">
        <f>C68+273.15</f>
        <v>300</v>
      </c>
      <c r="E68" s="34" t="s">
        <v>69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</row>
    <row r="69" spans="1:19" s="35" customFormat="1" ht="14.25" customHeight="1">
      <c r="A69" s="33" t="s">
        <v>116</v>
      </c>
      <c r="B69" s="56" t="s">
        <v>129</v>
      </c>
      <c r="C69" s="57"/>
      <c r="D69" s="55" t="s">
        <v>128</v>
      </c>
      <c r="E69" s="55" t="s">
        <v>121</v>
      </c>
      <c r="G69" s="55" t="s">
        <v>130</v>
      </c>
      <c r="H69" s="56" t="s">
        <v>123</v>
      </c>
      <c r="I69" s="55"/>
      <c r="J69" s="34"/>
      <c r="K69" s="34"/>
      <c r="L69" s="34" t="s">
        <v>154</v>
      </c>
      <c r="M69" s="7" t="s">
        <v>122</v>
      </c>
      <c r="N69" s="34"/>
      <c r="O69" s="34"/>
      <c r="P69" s="34"/>
      <c r="Q69" s="55" t="s">
        <v>155</v>
      </c>
      <c r="R69" s="34"/>
      <c r="S69" s="34"/>
    </row>
    <row r="70" spans="1:19" s="35" customFormat="1" ht="16.5" customHeight="1">
      <c r="A70" s="44" t="s">
        <v>144</v>
      </c>
      <c r="B70" s="58">
        <f>B73/(0.584 + 0.965*E65-E65*E65)</f>
        <v>500.5590049525365</v>
      </c>
      <c r="C70" s="57" t="s">
        <v>69</v>
      </c>
      <c r="D70" s="55">
        <f>B70-273.15</f>
        <v>227.40900495253652</v>
      </c>
      <c r="E70" s="55">
        <f>508.15-273.15</f>
        <v>235</v>
      </c>
      <c r="F70" s="55" t="s">
        <v>127</v>
      </c>
      <c r="G70" s="34" t="s">
        <v>131</v>
      </c>
      <c r="H70" s="55"/>
      <c r="I70" s="34"/>
      <c r="J70" s="34"/>
      <c r="K70" s="34"/>
      <c r="L70" s="55" t="s">
        <v>156</v>
      </c>
      <c r="M70" s="34"/>
      <c r="N70" s="34"/>
      <c r="O70" s="34"/>
      <c r="P70" s="34"/>
      <c r="Q70" s="34"/>
      <c r="R70" s="34"/>
      <c r="S70" s="34"/>
    </row>
    <row r="71" spans="1:19" s="35" customFormat="1" ht="16.5" customHeight="1">
      <c r="A71" s="44" t="s">
        <v>145</v>
      </c>
      <c r="B71" s="58">
        <f>(0.113+0.0032*C65-F65)^(-2)</f>
        <v>48.024996049944072</v>
      </c>
      <c r="C71" s="57" t="s">
        <v>71</v>
      </c>
      <c r="D71" s="55"/>
      <c r="E71" s="55">
        <v>47.582000000000001</v>
      </c>
      <c r="F71" s="55" t="s">
        <v>71</v>
      </c>
      <c r="G71" s="34" t="s">
        <v>131</v>
      </c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</row>
    <row r="72" spans="1:19" s="35" customFormat="1" ht="16.5" customHeight="1">
      <c r="A72" s="44" t="s">
        <v>146</v>
      </c>
      <c r="B72" s="58">
        <f>17.5+G65</f>
        <v>209.5</v>
      </c>
      <c r="C72" s="57" t="s">
        <v>126</v>
      </c>
      <c r="D72" s="55"/>
      <c r="E72" s="55"/>
      <c r="F72" s="55"/>
      <c r="G72" s="34" t="s">
        <v>131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</row>
    <row r="73" spans="1:19" s="35" customFormat="1" ht="16.5" customHeight="1">
      <c r="A73" s="44" t="s">
        <v>147</v>
      </c>
      <c r="B73" s="58">
        <f>198.2+H65</f>
        <v>322.11</v>
      </c>
      <c r="C73" s="57" t="s">
        <v>69</v>
      </c>
      <c r="D73" s="55">
        <f>B73-273.15</f>
        <v>48.960000000000036</v>
      </c>
      <c r="E73" s="55">
        <v>56</v>
      </c>
      <c r="F73" s="55"/>
      <c r="G73" s="34" t="s">
        <v>131</v>
      </c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</row>
    <row r="74" spans="1:19" s="35" customFormat="1" ht="16.5" customHeight="1">
      <c r="A74" s="44" t="s">
        <v>148</v>
      </c>
      <c r="B74" s="58">
        <f>122.5+I65</f>
        <v>173.5</v>
      </c>
      <c r="C74" s="57" t="s">
        <v>69</v>
      </c>
      <c r="D74" s="55">
        <f>B74-273.15</f>
        <v>-99.649999999999977</v>
      </c>
      <c r="E74" s="55">
        <v>-95.6</v>
      </c>
      <c r="F74" s="55" t="s">
        <v>127</v>
      </c>
      <c r="G74" s="34" t="s">
        <v>131</v>
      </c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</row>
    <row r="75" spans="1:19" s="35" customFormat="1" ht="16.5" customHeight="1">
      <c r="A75" s="44" t="s">
        <v>149</v>
      </c>
      <c r="B75" s="58">
        <f>68.29+J65</f>
        <v>-217.82999999999998</v>
      </c>
      <c r="C75" s="55" t="s">
        <v>77</v>
      </c>
      <c r="D75" s="55"/>
      <c r="E75" s="55"/>
      <c r="F75" s="55"/>
      <c r="G75" s="34" t="s">
        <v>131</v>
      </c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</row>
    <row r="76" spans="1:19" s="35" customFormat="1" ht="16.5" customHeight="1">
      <c r="A76" s="44" t="s">
        <v>150</v>
      </c>
      <c r="B76" s="58">
        <f>53.88+K65</f>
        <v>-154.54000000000002</v>
      </c>
      <c r="C76" s="55"/>
      <c r="D76" s="55"/>
      <c r="E76" s="55"/>
      <c r="F76" s="55"/>
      <c r="G76" s="34" t="s">
        <v>131</v>
      </c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</row>
    <row r="77" spans="1:19" s="35" customFormat="1" ht="16.5" customHeight="1">
      <c r="A77" s="59" t="s">
        <v>132</v>
      </c>
      <c r="B77" s="61">
        <f>L65</f>
        <v>45.45</v>
      </c>
      <c r="C77" s="55"/>
      <c r="D77" s="55"/>
      <c r="E77" s="55"/>
      <c r="F77" s="55"/>
      <c r="G77" s="55" t="s">
        <v>131</v>
      </c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</row>
    <row r="78" spans="1:19" s="35" customFormat="1">
      <c r="A78" s="59" t="s">
        <v>133</v>
      </c>
      <c r="B78" s="61">
        <f>M65</f>
        <v>5.0840000000000003E-2</v>
      </c>
      <c r="C78" s="55"/>
      <c r="D78" s="55"/>
      <c r="E78" s="55"/>
      <c r="F78" s="55" t="s">
        <v>120</v>
      </c>
      <c r="G78" s="55" t="s">
        <v>131</v>
      </c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</row>
    <row r="79" spans="1:19" s="35" customFormat="1">
      <c r="A79" s="59" t="s">
        <v>134</v>
      </c>
      <c r="B79" s="61">
        <f>N65</f>
        <v>2.7030000000000001E-4</v>
      </c>
      <c r="C79" s="55"/>
      <c r="D79" s="55"/>
      <c r="E79" s="55"/>
      <c r="F79" s="55"/>
      <c r="G79" s="55" t="s">
        <v>131</v>
      </c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</row>
    <row r="80" spans="1:19" s="35" customFormat="1">
      <c r="A80" s="59" t="s">
        <v>135</v>
      </c>
      <c r="B80" s="61">
        <f>O65</f>
        <v>-1.9054000000000001E-7</v>
      </c>
      <c r="C80" s="55"/>
      <c r="D80" s="55"/>
      <c r="E80" s="55"/>
      <c r="F80" s="55"/>
      <c r="G80" s="55" t="s">
        <v>131</v>
      </c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</row>
    <row r="81" spans="1:19" s="35" customFormat="1">
      <c r="A81" s="59" t="s">
        <v>151</v>
      </c>
      <c r="B81" s="58">
        <f>-37.93+B77+(B78+0.21)*D68+(B79-0.000391)*D68*D68+(B80+0.000000206)*D68^3</f>
        <v>75.326420000000013</v>
      </c>
      <c r="C81" s="55" t="s">
        <v>138</v>
      </c>
      <c r="D81" s="55"/>
      <c r="E81" s="55"/>
      <c r="F81" s="55"/>
      <c r="G81" s="55" t="s">
        <v>131</v>
      </c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</row>
    <row r="82" spans="1:19" s="35" customFormat="1">
      <c r="A82" s="59" t="s">
        <v>152</v>
      </c>
      <c r="B82" s="58">
        <f>-0.88+P65</f>
        <v>5.125</v>
      </c>
      <c r="C82" s="55"/>
      <c r="D82" s="55"/>
      <c r="E82" s="55"/>
      <c r="F82" s="55"/>
      <c r="G82" s="55" t="s">
        <v>131</v>
      </c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</row>
    <row r="83" spans="1:19" s="35" customFormat="1">
      <c r="A83" s="59" t="s">
        <v>136</v>
      </c>
      <c r="B83" s="58">
        <f>15.3+Q65</f>
        <v>29.018000000000001</v>
      </c>
      <c r="C83" s="55"/>
      <c r="D83" s="55"/>
      <c r="E83" s="55"/>
      <c r="F83" s="55"/>
      <c r="G83" s="55" t="s">
        <v>131</v>
      </c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</row>
    <row r="84" spans="1:19" s="35" customFormat="1">
      <c r="A84" s="60" t="s">
        <v>139</v>
      </c>
      <c r="B84" s="58">
        <f>R65</f>
        <v>1436.9299999999998</v>
      </c>
      <c r="C84" s="55"/>
      <c r="D84" s="55"/>
      <c r="E84" s="55"/>
      <c r="F84" s="55"/>
      <c r="G84" s="55" t="s">
        <v>131</v>
      </c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</row>
    <row r="85" spans="1:19" s="35" customFormat="1">
      <c r="A85" s="59" t="s">
        <v>140</v>
      </c>
      <c r="B85" s="58">
        <f>S65</f>
        <v>-3.7880000000000003</v>
      </c>
      <c r="C85" s="55"/>
      <c r="D85" s="55"/>
      <c r="E85" s="55">
        <f>EXP(2)</f>
        <v>7.3890560989306504</v>
      </c>
      <c r="F85" s="55"/>
      <c r="G85" s="55" t="s">
        <v>131</v>
      </c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</row>
    <row r="86" spans="1:19" s="35" customFormat="1">
      <c r="A86" s="59" t="s">
        <v>89</v>
      </c>
      <c r="B86" s="62">
        <f>D65*EXP((B84-597.82)/D68+B85-11.202)</f>
        <v>2.9382574920331771E-4</v>
      </c>
      <c r="C86" s="55" t="s">
        <v>141</v>
      </c>
      <c r="D86" s="58">
        <f>1000*B86</f>
        <v>0.29382574920331772</v>
      </c>
      <c r="E86" s="58">
        <v>0.33</v>
      </c>
      <c r="F86" s="55" t="s">
        <v>143</v>
      </c>
      <c r="G86" s="55" t="s">
        <v>142</v>
      </c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</row>
    <row r="87" spans="1:19">
      <c r="A87" s="5"/>
      <c r="B87" s="5"/>
      <c r="C87" s="5"/>
      <c r="D87" s="5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15"/>
      <c r="S87" s="15"/>
    </row>
    <row r="88" spans="1:19">
      <c r="A88" s="7" t="s">
        <v>95</v>
      </c>
      <c r="B88" s="7" t="s">
        <v>153</v>
      </c>
      <c r="C88" s="7" t="s">
        <v>122</v>
      </c>
      <c r="D88" s="36"/>
    </row>
    <row r="89" spans="1:19">
      <c r="A89" s="6"/>
      <c r="B89" s="6"/>
      <c r="C89" s="6"/>
      <c r="D89" s="37"/>
    </row>
    <row r="90" spans="1:19">
      <c r="E90" s="11"/>
    </row>
    <row r="94" spans="1:19">
      <c r="A94" s="7" t="s">
        <v>60</v>
      </c>
    </row>
    <row r="96" spans="1:19" ht="18">
      <c r="A96" s="7" t="s">
        <v>61</v>
      </c>
    </row>
    <row r="98" spans="1:16" ht="15" customHeight="1">
      <c r="A98" s="8"/>
      <c r="B98" s="14"/>
      <c r="C98" s="29"/>
      <c r="D98" s="14"/>
      <c r="E98" s="50" t="s">
        <v>22</v>
      </c>
      <c r="F98" s="50"/>
      <c r="G98" s="50" t="s">
        <v>41</v>
      </c>
      <c r="H98" s="50"/>
      <c r="I98" s="1"/>
      <c r="J98" s="1"/>
      <c r="K98" s="1"/>
    </row>
    <row r="99" spans="1:16">
      <c r="A99" s="52" t="s">
        <v>62</v>
      </c>
      <c r="B99" s="14"/>
      <c r="C99" s="29"/>
      <c r="D99" s="14"/>
      <c r="E99" s="1" t="s">
        <v>63</v>
      </c>
      <c r="F99" s="50" t="s">
        <v>65</v>
      </c>
      <c r="G99" s="1" t="s">
        <v>63</v>
      </c>
      <c r="H99" s="50" t="s">
        <v>65</v>
      </c>
      <c r="I99" s="50"/>
      <c r="J99" s="50" t="s">
        <v>66</v>
      </c>
      <c r="K99" s="50" t="s">
        <v>67</v>
      </c>
    </row>
    <row r="100" spans="1:16" ht="30">
      <c r="A100" s="52"/>
      <c r="B100" s="14"/>
      <c r="C100" s="29"/>
      <c r="D100" s="14"/>
      <c r="E100" s="1" t="s">
        <v>64</v>
      </c>
      <c r="F100" s="50"/>
      <c r="G100" s="1" t="s">
        <v>64</v>
      </c>
      <c r="H100" s="50"/>
      <c r="I100" s="50"/>
      <c r="J100" s="50"/>
      <c r="K100" s="50"/>
      <c r="L100" t="s">
        <v>98</v>
      </c>
    </row>
    <row r="101" spans="1:16" ht="18">
      <c r="A101" s="63" t="s">
        <v>68</v>
      </c>
      <c r="B101" s="5"/>
      <c r="C101" s="5"/>
      <c r="D101" s="5"/>
      <c r="E101" s="12">
        <v>2</v>
      </c>
      <c r="F101" s="9">
        <v>1.41E-2</v>
      </c>
      <c r="G101" s="2">
        <v>1</v>
      </c>
      <c r="H101" s="9">
        <v>3.7999999999999999E-2</v>
      </c>
      <c r="I101" s="9">
        <v>6.6199999999999995E-2</v>
      </c>
      <c r="J101" s="9">
        <v>500.55900000000003</v>
      </c>
      <c r="K101" s="2" t="s">
        <v>69</v>
      </c>
      <c r="L101">
        <f>E101*F101+G101*H101</f>
        <v>6.6199999999999995E-2</v>
      </c>
      <c r="O101">
        <f>O104/(0.584+0.965*L101-L101^2)</f>
        <v>500.5590049525365</v>
      </c>
      <c r="P101" t="s">
        <v>69</v>
      </c>
    </row>
    <row r="102" spans="1:16" ht="18">
      <c r="A102" s="63" t="s">
        <v>70</v>
      </c>
      <c r="B102" s="5"/>
      <c r="C102" s="5"/>
      <c r="D102" s="5"/>
      <c r="E102" s="12">
        <v>2</v>
      </c>
      <c r="F102" s="13">
        <v>-1.1999999999999999E-3</v>
      </c>
      <c r="G102" s="2">
        <v>1</v>
      </c>
      <c r="H102" s="13">
        <v>3.0999999999999999E-3</v>
      </c>
      <c r="I102" s="13">
        <v>6.9999999999999999E-4</v>
      </c>
      <c r="J102" s="9">
        <v>48.024999999999999</v>
      </c>
      <c r="K102" s="2" t="s">
        <v>71</v>
      </c>
      <c r="L102">
        <f t="shared" ref="L102:L116" si="7">E102*F102+G102*H102</f>
        <v>7.000000000000001E-4</v>
      </c>
      <c r="O102">
        <f>1/(0.113+0.0032*E119-L102)^2</f>
        <v>48.024996049944072</v>
      </c>
      <c r="P102" t="str">
        <f t="shared" ref="P102:P107" si="8">K102</f>
        <v>bar</v>
      </c>
    </row>
    <row r="103" spans="1:16" ht="18">
      <c r="A103" s="63" t="s">
        <v>72</v>
      </c>
      <c r="B103" s="5"/>
      <c r="C103" s="5"/>
      <c r="D103" s="5"/>
      <c r="E103" s="12">
        <v>2</v>
      </c>
      <c r="F103" s="9">
        <v>65</v>
      </c>
      <c r="G103" s="2">
        <v>1</v>
      </c>
      <c r="H103" s="9">
        <v>62</v>
      </c>
      <c r="I103" s="9">
        <v>192</v>
      </c>
      <c r="J103" s="9">
        <v>209.5</v>
      </c>
      <c r="K103" s="2" t="s">
        <v>73</v>
      </c>
      <c r="L103">
        <f t="shared" si="7"/>
        <v>192</v>
      </c>
      <c r="O103">
        <f>17.5+L103</f>
        <v>209.5</v>
      </c>
      <c r="P103" t="str">
        <f t="shared" si="8"/>
        <v>cm3/mol</v>
      </c>
    </row>
    <row r="104" spans="1:16" ht="18">
      <c r="A104" s="63" t="s">
        <v>74</v>
      </c>
      <c r="B104" s="5"/>
      <c r="C104" s="5"/>
      <c r="D104" s="5"/>
      <c r="E104" s="12">
        <v>2</v>
      </c>
      <c r="F104" s="9">
        <v>23.58</v>
      </c>
      <c r="G104" s="2">
        <v>1</v>
      </c>
      <c r="H104" s="9">
        <v>76.75</v>
      </c>
      <c r="I104" s="9">
        <v>123.91</v>
      </c>
      <c r="J104" s="9">
        <v>322.11</v>
      </c>
      <c r="K104" s="2" t="s">
        <v>69</v>
      </c>
      <c r="L104">
        <f t="shared" si="7"/>
        <v>123.91</v>
      </c>
      <c r="O104">
        <f>L104+198.2</f>
        <v>322.11</v>
      </c>
      <c r="P104" t="str">
        <f t="shared" si="8"/>
        <v>K</v>
      </c>
    </row>
    <row r="105" spans="1:16" ht="18">
      <c r="A105" s="63" t="s">
        <v>75</v>
      </c>
      <c r="B105" s="5"/>
      <c r="C105" s="5"/>
      <c r="D105" s="5"/>
      <c r="E105" s="12">
        <v>2</v>
      </c>
      <c r="F105" s="9">
        <v>-5.0999999999999996</v>
      </c>
      <c r="G105" s="2">
        <v>1</v>
      </c>
      <c r="H105" s="9">
        <v>61.2</v>
      </c>
      <c r="I105" s="9">
        <v>51</v>
      </c>
      <c r="J105" s="9">
        <v>173.5</v>
      </c>
      <c r="K105" s="2" t="s">
        <v>69</v>
      </c>
      <c r="L105">
        <f t="shared" si="7"/>
        <v>51</v>
      </c>
      <c r="O105">
        <f>122.5+L105</f>
        <v>173.5</v>
      </c>
      <c r="P105" t="str">
        <f t="shared" si="8"/>
        <v>K</v>
      </c>
    </row>
    <row r="106" spans="1:16" ht="18">
      <c r="A106" s="63" t="s">
        <v>76</v>
      </c>
      <c r="B106" s="5"/>
      <c r="C106" s="5"/>
      <c r="D106" s="5"/>
      <c r="E106" s="12">
        <v>2</v>
      </c>
      <c r="F106" s="9">
        <v>-76.45</v>
      </c>
      <c r="G106" s="2">
        <v>1</v>
      </c>
      <c r="H106" s="9">
        <v>-133.22</v>
      </c>
      <c r="I106" s="9">
        <v>-286.12</v>
      </c>
      <c r="J106" s="9">
        <v>-217.83</v>
      </c>
      <c r="K106" s="2" t="s">
        <v>77</v>
      </c>
      <c r="L106">
        <f>E106*F106+G106*H106</f>
        <v>-286.12</v>
      </c>
      <c r="O106" s="11">
        <f>68.29+L106</f>
        <v>-217.82999999999998</v>
      </c>
      <c r="P106" t="str">
        <f t="shared" si="8"/>
        <v>kJ/mol</v>
      </c>
    </row>
    <row r="107" spans="1:16" ht="18">
      <c r="A107" s="63" t="s">
        <v>78</v>
      </c>
      <c r="B107" s="5"/>
      <c r="C107" s="5"/>
      <c r="D107" s="5"/>
      <c r="E107" s="12">
        <v>2</v>
      </c>
      <c r="F107" s="9">
        <v>-43.96</v>
      </c>
      <c r="G107" s="2">
        <v>1</v>
      </c>
      <c r="H107" s="9">
        <v>-120.5</v>
      </c>
      <c r="I107" s="9">
        <v>-208.42</v>
      </c>
      <c r="J107" s="9">
        <v>-154.54</v>
      </c>
      <c r="K107" s="2" t="s">
        <v>77</v>
      </c>
      <c r="L107">
        <f t="shared" si="7"/>
        <v>-208.42000000000002</v>
      </c>
      <c r="O107">
        <f>53.88+L107</f>
        <v>-154.54000000000002</v>
      </c>
      <c r="P107" t="str">
        <f t="shared" si="8"/>
        <v>kJ/mol</v>
      </c>
    </row>
    <row r="108" spans="1:16" ht="18">
      <c r="A108" s="63" t="s">
        <v>79</v>
      </c>
      <c r="B108" s="5"/>
      <c r="C108" s="5"/>
      <c r="D108" s="5"/>
      <c r="E108" s="12">
        <v>2</v>
      </c>
      <c r="F108" s="9">
        <v>19.5</v>
      </c>
      <c r="G108" s="2">
        <v>1</v>
      </c>
      <c r="H108" s="9">
        <v>6.45</v>
      </c>
      <c r="I108" s="9">
        <v>45.5</v>
      </c>
      <c r="J108" s="49"/>
      <c r="K108" s="49"/>
      <c r="L108">
        <f t="shared" si="7"/>
        <v>45.45</v>
      </c>
    </row>
    <row r="109" spans="1:16" ht="18">
      <c r="A109" s="63" t="s">
        <v>80</v>
      </c>
      <c r="B109" s="5"/>
      <c r="C109" s="5"/>
      <c r="D109" s="5"/>
      <c r="E109" s="12">
        <v>2</v>
      </c>
      <c r="F109" s="13">
        <v>-8.0800000000000004E-3</v>
      </c>
      <c r="G109" s="2">
        <v>1</v>
      </c>
      <c r="H109" s="9">
        <v>6.7000000000000004E-2</v>
      </c>
      <c r="I109" s="9">
        <v>5.0799999999999998E-2</v>
      </c>
      <c r="J109" s="49"/>
      <c r="K109" s="49"/>
      <c r="L109">
        <f t="shared" si="7"/>
        <v>5.0840000000000003E-2</v>
      </c>
    </row>
    <row r="110" spans="1:16" ht="18">
      <c r="A110" s="63" t="s">
        <v>81</v>
      </c>
      <c r="B110" s="5"/>
      <c r="C110" s="5"/>
      <c r="D110" s="5"/>
      <c r="E110" s="12">
        <v>2</v>
      </c>
      <c r="F110" s="13">
        <v>1.5300000000000001E-4</v>
      </c>
      <c r="G110" s="2">
        <v>1</v>
      </c>
      <c r="H110" s="13">
        <v>-3.57E-5</v>
      </c>
      <c r="I110" s="9">
        <v>2.7E-4</v>
      </c>
      <c r="J110" s="49"/>
      <c r="K110" s="49"/>
      <c r="L110">
        <f t="shared" si="7"/>
        <v>2.7030000000000001E-4</v>
      </c>
    </row>
    <row r="111" spans="1:16" ht="18">
      <c r="A111" s="63" t="s">
        <v>82</v>
      </c>
      <c r="B111" s="5"/>
      <c r="C111" s="5"/>
      <c r="D111" s="5"/>
      <c r="E111" s="12">
        <v>2</v>
      </c>
      <c r="F111" s="13">
        <v>-9.6699999999999999E-8</v>
      </c>
      <c r="G111" s="2">
        <v>1</v>
      </c>
      <c r="H111" s="13">
        <v>2.86E-9</v>
      </c>
      <c r="I111" s="13">
        <v>-1.91E-7</v>
      </c>
      <c r="J111" s="49"/>
      <c r="K111" s="49"/>
      <c r="L111">
        <f t="shared" si="7"/>
        <v>-1.9054000000000001E-7</v>
      </c>
    </row>
    <row r="112" spans="1:16" ht="18" customHeight="1">
      <c r="A112" s="63" t="s">
        <v>83</v>
      </c>
      <c r="B112" s="5"/>
      <c r="C112" s="5"/>
      <c r="D112" s="5"/>
      <c r="E112" s="3" t="s">
        <v>99</v>
      </c>
      <c r="F112" s="3">
        <v>300</v>
      </c>
      <c r="G112" s="3" t="s">
        <v>69</v>
      </c>
      <c r="H112" s="3"/>
      <c r="I112" s="3"/>
      <c r="J112" s="9">
        <v>75.326400000000007</v>
      </c>
      <c r="K112" s="2" t="s">
        <v>84</v>
      </c>
      <c r="O112">
        <f>L108-37.93+(L109+0.21)*F112+(L110-0.000391)*F112^2+(L111+0.000000206)*F112^3</f>
        <v>75.326420000000013</v>
      </c>
      <c r="P112" t="str">
        <f>K112</f>
        <v>J/(mol·K)</v>
      </c>
    </row>
    <row r="113" spans="1:16" ht="18">
      <c r="A113" s="63" t="s">
        <v>85</v>
      </c>
      <c r="B113" s="5"/>
      <c r="C113" s="5"/>
      <c r="D113" s="5"/>
      <c r="E113" s="2">
        <v>2</v>
      </c>
      <c r="F113" s="9">
        <v>0.90800000000000003</v>
      </c>
      <c r="G113" s="2">
        <v>1</v>
      </c>
      <c r="H113" s="9">
        <v>4.1890000000000001</v>
      </c>
      <c r="I113" s="9">
        <v>6.0049999999999999</v>
      </c>
      <c r="J113" s="9">
        <v>5.125</v>
      </c>
      <c r="K113" s="2" t="s">
        <v>77</v>
      </c>
      <c r="L113">
        <f t="shared" si="7"/>
        <v>6.0049999999999999</v>
      </c>
      <c r="O113">
        <f>-0.88+L113</f>
        <v>5.125</v>
      </c>
      <c r="P113" t="str">
        <f>K113</f>
        <v>kJ/mol</v>
      </c>
    </row>
    <row r="114" spans="1:16" ht="18">
      <c r="A114" s="63" t="s">
        <v>86</v>
      </c>
      <c r="B114" s="5"/>
      <c r="C114" s="5"/>
      <c r="D114" s="5"/>
      <c r="E114" s="2">
        <v>2</v>
      </c>
      <c r="F114" s="9">
        <v>2.3730000000000002</v>
      </c>
      <c r="G114" s="2">
        <v>1</v>
      </c>
      <c r="H114" s="9">
        <v>8.9719999999999995</v>
      </c>
      <c r="I114" s="9">
        <v>13.718</v>
      </c>
      <c r="J114" s="9">
        <v>209.8854</v>
      </c>
      <c r="K114" s="2" t="s">
        <v>77</v>
      </c>
      <c r="L114">
        <f t="shared" si="7"/>
        <v>13.718</v>
      </c>
      <c r="O114">
        <f>15.3+L114</f>
        <v>29.018000000000001</v>
      </c>
      <c r="P114" t="str">
        <f>K114</f>
        <v>kJ/mol</v>
      </c>
    </row>
    <row r="115" spans="1:16" ht="18">
      <c r="A115" s="63" t="s">
        <v>87</v>
      </c>
      <c r="B115" s="5"/>
      <c r="C115" s="5"/>
      <c r="D115" s="5"/>
      <c r="E115" s="2">
        <v>2</v>
      </c>
      <c r="F115" s="9">
        <v>548.29</v>
      </c>
      <c r="G115" s="2">
        <v>1</v>
      </c>
      <c r="H115" s="9">
        <v>340.35</v>
      </c>
      <c r="I115" s="9">
        <v>1436.93</v>
      </c>
      <c r="J115" s="49"/>
      <c r="K115" s="49"/>
      <c r="L115">
        <f t="shared" si="7"/>
        <v>1436.9299999999998</v>
      </c>
    </row>
    <row r="116" spans="1:16" ht="18">
      <c r="A116" s="63" t="s">
        <v>88</v>
      </c>
      <c r="B116" s="5"/>
      <c r="C116" s="5"/>
      <c r="D116" s="5"/>
      <c r="E116" s="2">
        <v>2</v>
      </c>
      <c r="F116" s="9">
        <v>-1.7190000000000001</v>
      </c>
      <c r="G116" s="2">
        <v>1</v>
      </c>
      <c r="H116" s="9">
        <v>-0.35</v>
      </c>
      <c r="I116" s="9">
        <v>-3.7879999999999998</v>
      </c>
      <c r="J116" s="49"/>
      <c r="K116" s="49"/>
      <c r="L116">
        <f t="shared" si="7"/>
        <v>-3.7880000000000003</v>
      </c>
    </row>
    <row r="117" spans="1:16" ht="15" customHeight="1">
      <c r="A117" s="63" t="s">
        <v>89</v>
      </c>
      <c r="B117" s="5"/>
      <c r="C117" s="5"/>
      <c r="D117" s="5"/>
      <c r="E117" s="3" t="s">
        <v>99</v>
      </c>
      <c r="F117" s="3">
        <v>300</v>
      </c>
      <c r="G117" s="3" t="s">
        <v>69</v>
      </c>
      <c r="H117" s="3"/>
      <c r="I117" s="3"/>
      <c r="J117" s="9">
        <v>2.942E-4</v>
      </c>
      <c r="K117" s="2" t="s">
        <v>90</v>
      </c>
      <c r="O117" s="13">
        <f>E118*EXP((L115-597.82)/F117+L116-11.202)</f>
        <v>2.9382574920331771E-4</v>
      </c>
      <c r="P117" t="str">
        <f>K117</f>
        <v>Pa s</v>
      </c>
    </row>
    <row r="118" spans="1:16">
      <c r="A118" s="64" t="s">
        <v>100</v>
      </c>
      <c r="E118">
        <f>2*15+12+16</f>
        <v>58</v>
      </c>
      <c r="F118" t="s">
        <v>101</v>
      </c>
    </row>
    <row r="119" spans="1:16">
      <c r="A119" s="64" t="s">
        <v>102</v>
      </c>
      <c r="E119" s="3">
        <v>10</v>
      </c>
    </row>
  </sheetData>
  <mergeCells count="30">
    <mergeCell ref="A20:S20"/>
    <mergeCell ref="A28:S28"/>
    <mergeCell ref="A4:A6"/>
    <mergeCell ref="E5:G6"/>
    <mergeCell ref="H5:I5"/>
    <mergeCell ref="H6:I6"/>
    <mergeCell ref="J6:K6"/>
    <mergeCell ref="L5:O5"/>
    <mergeCell ref="L6:O6"/>
    <mergeCell ref="P6:Q6"/>
    <mergeCell ref="R5:S5"/>
    <mergeCell ref="R6:S6"/>
    <mergeCell ref="A7:S7"/>
    <mergeCell ref="A35:S35"/>
    <mergeCell ref="E98:F98"/>
    <mergeCell ref="G98:H98"/>
    <mergeCell ref="A99:A100"/>
    <mergeCell ref="F99:F100"/>
    <mergeCell ref="H99:H100"/>
    <mergeCell ref="I99:I100"/>
    <mergeCell ref="A48:S48"/>
    <mergeCell ref="A60:S60"/>
    <mergeCell ref="J115:K115"/>
    <mergeCell ref="J116:K116"/>
    <mergeCell ref="J99:J100"/>
    <mergeCell ref="K99:K100"/>
    <mergeCell ref="J108:K108"/>
    <mergeCell ref="J109:K109"/>
    <mergeCell ref="J110:K110"/>
    <mergeCell ref="J111:K111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41" sqref="G41"/>
    </sheetView>
  </sheetViews>
  <sheetFormatPr baseColWidth="10" defaultRowHeight="15"/>
  <cols>
    <col min="1" max="2" width="11.42578125" customWidth="1"/>
  </cols>
  <sheetData>
    <row r="1" spans="1:1">
      <c r="A1" t="s">
        <v>96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Daten</vt:lpstr>
      <vt:lpstr>Formeln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ws</cp:lastModifiedBy>
  <dcterms:created xsi:type="dcterms:W3CDTF">2015-06-30T09:13:26Z</dcterms:created>
  <dcterms:modified xsi:type="dcterms:W3CDTF">2015-08-28T17:38:20Z</dcterms:modified>
</cp:coreProperties>
</file>